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\\1c\общая 2\ФОТО\Сайт\Сайт 3.0  2021\Наполнение\Опросные листы\"/>
    </mc:Choice>
  </mc:AlternateContent>
  <xr:revisionPtr revIDLastSave="0" documentId="13_ncr:1_{6F07321C-6B8B-401A-9FF1-9CB233A3B559}" xr6:coauthVersionLast="40" xr6:coauthVersionMax="40" xr10:uidLastSave="{00000000-0000-0000-0000-000000000000}"/>
  <bookViews>
    <workbookView xWindow="0" yWindow="0" windowWidth="21570" windowHeight="10380" xr2:uid="{00000000-000D-0000-FFFF-FFFF00000000}"/>
  </bookViews>
  <sheets>
    <sheet name="ВВОД" sheetId="3" r:id="rId1"/>
    <sheet name="СПРАВОЧНИК" sheetId="4" state="hidden" r:id="rId2"/>
    <sheet name="РАСЧЕТ" sheetId="1" state="hidden" r:id="rId3"/>
  </sheets>
  <calcPr calcId="191029"/>
</workbook>
</file>

<file path=xl/calcChain.xml><?xml version="1.0" encoding="utf-8"?>
<calcChain xmlns="http://schemas.openxmlformats.org/spreadsheetml/2006/main">
  <c r="F15" i="3" l="1"/>
  <c r="F16" i="3" s="1"/>
  <c r="F13" i="3"/>
  <c r="B10" i="1" s="1"/>
  <c r="E25" i="1"/>
  <c r="B6" i="1"/>
  <c r="B3" i="1"/>
  <c r="B2" i="1"/>
  <c r="B1" i="1"/>
  <c r="B4" i="1" s="1"/>
  <c r="G2" i="4"/>
  <c r="B12" i="1" s="1"/>
  <c r="B21" i="1" s="1"/>
  <c r="B40" i="1" s="1"/>
  <c r="F2" i="4"/>
  <c r="B11" i="1"/>
  <c r="B20" i="1" s="1"/>
  <c r="H2" i="4"/>
  <c r="B42" i="1"/>
  <c r="E68" i="1"/>
  <c r="E67" i="1"/>
  <c r="E66" i="1"/>
  <c r="E65" i="1"/>
  <c r="E64" i="1"/>
  <c r="E69" i="1" s="1"/>
  <c r="B48" i="1" s="1"/>
  <c r="E63" i="1"/>
  <c r="E62" i="1"/>
  <c r="E61" i="1"/>
  <c r="I35" i="1"/>
  <c r="B32" i="1"/>
  <c r="B5" i="1" l="1"/>
  <c r="B7" i="1" s="1"/>
  <c r="B8" i="1" s="1"/>
  <c r="F19" i="3" s="1"/>
  <c r="B14" i="1"/>
  <c r="B15" i="1"/>
  <c r="B52" i="1"/>
  <c r="B53" i="1"/>
  <c r="B19" i="1" l="1"/>
  <c r="B13" i="1"/>
  <c r="B18" i="1"/>
  <c r="B36" i="1"/>
  <c r="B22" i="1" l="1"/>
  <c r="B23" i="1" s="1"/>
  <c r="B29" i="1" s="1"/>
  <c r="F23" i="1" l="1"/>
  <c r="B39" i="1" s="1"/>
  <c r="F39" i="1" s="1"/>
  <c r="H39" i="1" s="1"/>
  <c r="B25" i="1"/>
  <c r="B26" i="1" s="1"/>
  <c r="C27" i="1" s="1"/>
  <c r="B41" i="1" l="1"/>
  <c r="B43" i="1" s="1"/>
  <c r="B44" i="1" s="1"/>
  <c r="B51" i="1" s="1"/>
  <c r="B27" i="1"/>
  <c r="H23" i="1"/>
  <c r="B50" i="1" l="1"/>
  <c r="B54" i="1" s="1"/>
  <c r="B56" i="1" s="1"/>
  <c r="B55" i="1" l="1"/>
</calcChain>
</file>

<file path=xl/sharedStrings.xml><?xml version="1.0" encoding="utf-8"?>
<sst xmlns="http://schemas.openxmlformats.org/spreadsheetml/2006/main" count="319" uniqueCount="216">
  <si>
    <t>ºС</t>
  </si>
  <si>
    <t>Температура жидкости начальная расчетная.</t>
  </si>
  <si>
    <t>tкон</t>
  </si>
  <si>
    <t>Температура жидкости конечная.</t>
  </si>
  <si>
    <t>C</t>
  </si>
  <si>
    <t>кДж/(кг*К)</t>
  </si>
  <si>
    <t>Теплоемкость жидкости.</t>
  </si>
  <si>
    <t>ρ</t>
  </si>
  <si>
    <t>кг/м3</t>
  </si>
  <si>
    <t>Плотность жидкости.</t>
  </si>
  <si>
    <t>G</t>
  </si>
  <si>
    <t>м3/ч</t>
  </si>
  <si>
    <t>Объемный расход жидкости.</t>
  </si>
  <si>
    <t>m</t>
  </si>
  <si>
    <t>кг/ч</t>
  </si>
  <si>
    <t>Массовый расход жидкости.</t>
  </si>
  <si>
    <t>Qх</t>
  </si>
  <si>
    <t>кВт</t>
  </si>
  <si>
    <t>Требуемая холодопроизводительность.</t>
  </si>
  <si>
    <t>Теплоноситель</t>
  </si>
  <si>
    <t>Cтн</t>
  </si>
  <si>
    <t>ρтп</t>
  </si>
  <si>
    <t>Теплоемкость теплоносителя.</t>
  </si>
  <si>
    <t>Плотность теплоносителя.</t>
  </si>
  <si>
    <t>Gтп</t>
  </si>
  <si>
    <t>Объемный расход теплоносителя.</t>
  </si>
  <si>
    <t>tнач</t>
  </si>
  <si>
    <t>Продукт</t>
  </si>
  <si>
    <t>Vсист</t>
  </si>
  <si>
    <t>м3</t>
  </si>
  <si>
    <t>Минимальный объем системы</t>
  </si>
  <si>
    <t>Расчет требуемого диаметра трубопровода</t>
  </si>
  <si>
    <t>Q</t>
  </si>
  <si>
    <t>Вт</t>
  </si>
  <si>
    <t>Q+10% по СНиП 2.04.05-91</t>
  </si>
  <si>
    <t>T</t>
  </si>
  <si>
    <t>К</t>
  </si>
  <si>
    <t>Разность температур</t>
  </si>
  <si>
    <t>Дж/(кг*К)</t>
  </si>
  <si>
    <t>Теплоемкость</t>
  </si>
  <si>
    <t>Плотность</t>
  </si>
  <si>
    <t>кг/c</t>
  </si>
  <si>
    <t>Массовый расход</t>
  </si>
  <si>
    <t>м3/с</t>
  </si>
  <si>
    <t>Объемный расход</t>
  </si>
  <si>
    <t>м3/час</t>
  </si>
  <si>
    <t>м3/сутки</t>
  </si>
  <si>
    <t>d0</t>
  </si>
  <si>
    <t>мм</t>
  </si>
  <si>
    <t>Диаметр</t>
  </si>
  <si>
    <t>s</t>
  </si>
  <si>
    <t>м2</t>
  </si>
  <si>
    <t>Проходное сечение труб</t>
  </si>
  <si>
    <t>ώ</t>
  </si>
  <si>
    <t>м/с</t>
  </si>
  <si>
    <t>Скорость</t>
  </si>
  <si>
    <t>Значения скорости:</t>
  </si>
  <si>
    <t>l</t>
  </si>
  <si>
    <t>м</t>
  </si>
  <si>
    <t>Длина труб</t>
  </si>
  <si>
    <t>всасывание</t>
  </si>
  <si>
    <t>(ώ=0,5-1)</t>
  </si>
  <si>
    <t>λ</t>
  </si>
  <si>
    <t>Коэффициент гидравлического сопротивления</t>
  </si>
  <si>
    <t>нагнетание</t>
  </si>
  <si>
    <t>(ώ=0,8-1,3)</t>
  </si>
  <si>
    <t>V</t>
  </si>
  <si>
    <t>Объем труб</t>
  </si>
  <si>
    <t>Расчет объемов раствора</t>
  </si>
  <si>
    <t>Раствор %</t>
  </si>
  <si>
    <t>Объем, л</t>
  </si>
  <si>
    <t>Расчет гидравлических потерь</t>
  </si>
  <si>
    <t>м3/сек</t>
  </si>
  <si>
    <t>л/сек</t>
  </si>
  <si>
    <t>h1</t>
  </si>
  <si>
    <t>Подъем</t>
  </si>
  <si>
    <t>h2</t>
  </si>
  <si>
    <t>Спуск</t>
  </si>
  <si>
    <t>ζ</t>
  </si>
  <si>
    <t>Коэффициент местных сопротивлений</t>
  </si>
  <si>
    <t xml:space="preserve">ΔPl </t>
  </si>
  <si>
    <t>Па</t>
  </si>
  <si>
    <t>Потери давления по длине</t>
  </si>
  <si>
    <t xml:space="preserve">ΔPi </t>
  </si>
  <si>
    <t>Потери давления по местным сопротивлениям</t>
  </si>
  <si>
    <t xml:space="preserve">ΔPh1 </t>
  </si>
  <si>
    <t>Потери давления по высоте</t>
  </si>
  <si>
    <t xml:space="preserve">ΔPh2 </t>
  </si>
  <si>
    <t>ΔP</t>
  </si>
  <si>
    <t>Общие потери давления</t>
  </si>
  <si>
    <t>бар</t>
  </si>
  <si>
    <t>Подсчет местных сопротивлений</t>
  </si>
  <si>
    <t>№</t>
  </si>
  <si>
    <t>Название элемента</t>
  </si>
  <si>
    <t>Количество элементов в гидросистеме</t>
  </si>
  <si>
    <t>К-т местного сопротивления для базовой гидросистемы</t>
  </si>
  <si>
    <t>Итого</t>
  </si>
  <si>
    <t>Тройник</t>
  </si>
  <si>
    <t>Изгиб</t>
  </si>
  <si>
    <t>Поворот</t>
  </si>
  <si>
    <t>Вход в насос</t>
  </si>
  <si>
    <t>Выход из насоса</t>
  </si>
  <si>
    <t>Вход в цилиндр</t>
  </si>
  <si>
    <t>Выход из цилиндра</t>
  </si>
  <si>
    <t>Обратный клапан</t>
  </si>
  <si>
    <t>Всего</t>
  </si>
  <si>
    <t>Производительность + Запас 10%</t>
  </si>
  <si>
    <t>Δpто</t>
  </si>
  <si>
    <t>Потери давления в теплообменнике чиллера</t>
  </si>
  <si>
    <t>www.criotechnika.ru</t>
  </si>
  <si>
    <t>info@criotechnika.ru</t>
  </si>
  <si>
    <t>объемный расход продукта</t>
  </si>
  <si>
    <t>температура продукта начальная</t>
  </si>
  <si>
    <t>температура продукта конечная</t>
  </si>
  <si>
    <t>молоко</t>
  </si>
  <si>
    <t>КРИОТЕХНИКА</t>
  </si>
  <si>
    <t>Новосибирск</t>
  </si>
  <si>
    <t>Тел: +7(383) 305-43-15</t>
  </si>
  <si>
    <t>нет</t>
  </si>
  <si>
    <t>ФИО</t>
  </si>
  <si>
    <t>телефон</t>
  </si>
  <si>
    <t>e-mail</t>
  </si>
  <si>
    <t>Промежуточный теплоноситель</t>
  </si>
  <si>
    <t>Параметры чиллера</t>
  </si>
  <si>
    <t>тип компрессоров</t>
  </si>
  <si>
    <t>количество компрессоров</t>
  </si>
  <si>
    <t>тип конденсатора</t>
  </si>
  <si>
    <t>тип испарителя</t>
  </si>
  <si>
    <t>тип терморегулируеющего вентиля</t>
  </si>
  <si>
    <t>наличие насосного агрегата</t>
  </si>
  <si>
    <t>тип гидравлической системы</t>
  </si>
  <si>
    <t>расположение чиллера</t>
  </si>
  <si>
    <t>Опросный лист на расчёт чиллера</t>
  </si>
  <si>
    <t>Рекомендуемая схема чиллера</t>
  </si>
  <si>
    <t>Дополнительная информация</t>
  </si>
  <si>
    <t>Контактные данные</t>
  </si>
  <si>
    <t>наличие защитного кожуха</t>
  </si>
  <si>
    <t>квас</t>
  </si>
  <si>
    <t>пиво</t>
  </si>
  <si>
    <t>да</t>
  </si>
  <si>
    <t>промежуточный теплоноситель</t>
  </si>
  <si>
    <t>ПРОДУКТ</t>
  </si>
  <si>
    <t>ТЕПЛОНОСИТЕЛЬ</t>
  </si>
  <si>
    <t>-</t>
  </si>
  <si>
    <t>температура теплоносителя на обратке</t>
  </si>
  <si>
    <t>температура теплоносителя на подаче</t>
  </si>
  <si>
    <t>поршевой</t>
  </si>
  <si>
    <t>спиральный</t>
  </si>
  <si>
    <t>винтовой</t>
  </si>
  <si>
    <t>не имеет значения</t>
  </si>
  <si>
    <t>ОБОРУДОВАНИЕ</t>
  </si>
  <si>
    <t>пластинчатый паянный</t>
  </si>
  <si>
    <t>разборный пластинчатый</t>
  </si>
  <si>
    <t>кожухотрубный</t>
  </si>
  <si>
    <t>механический ТРВ</t>
  </si>
  <si>
    <t>электронный ТРВ</t>
  </si>
  <si>
    <t>на улице</t>
  </si>
  <si>
    <t>в помещении</t>
  </si>
  <si>
    <t>водяной на раме агрегата</t>
  </si>
  <si>
    <t>воздушный на раме агрегата</t>
  </si>
  <si>
    <t>воздушный выносной</t>
  </si>
  <si>
    <t>открытая</t>
  </si>
  <si>
    <t>закрытая</t>
  </si>
  <si>
    <t>1 шт</t>
  </si>
  <si>
    <t>2 шт</t>
  </si>
  <si>
    <t>3 шт</t>
  </si>
  <si>
    <t>4 шт</t>
  </si>
  <si>
    <t>5 шт</t>
  </si>
  <si>
    <t>tпод</t>
  </si>
  <si>
    <t>tобр</t>
  </si>
  <si>
    <t>Охлаждаемая жидкость / продукт</t>
  </si>
  <si>
    <t>вода</t>
  </si>
  <si>
    <t>пропиленгликоль 33%</t>
  </si>
  <si>
    <t>пропиленгликоль 35%</t>
  </si>
  <si>
    <t>пропиленгликоль 40%</t>
  </si>
  <si>
    <t>пропиленгликоль 50%</t>
  </si>
  <si>
    <t>пропиленгликоль 55%</t>
  </si>
  <si>
    <t>этиленгликоль 33%</t>
  </si>
  <si>
    <t>этиленгликоль 35%</t>
  </si>
  <si>
    <t>этиленгликоль 40%</t>
  </si>
  <si>
    <t>этиленгликоль 45%</t>
  </si>
  <si>
    <t>этиленгликоль 50%</t>
  </si>
  <si>
    <t>Диаметр расчётный</t>
  </si>
  <si>
    <t>Диаметр проверочный</t>
  </si>
  <si>
    <t>Скорость максимальная</t>
  </si>
  <si>
    <t>холодопроизводительность, не менее</t>
  </si>
  <si>
    <t>л</t>
  </si>
  <si>
    <t>ТРУБОПРОВОДЫ</t>
  </si>
  <si>
    <t xml:space="preserve"> 3/8"</t>
  </si>
  <si>
    <t xml:space="preserve"> 1/2"</t>
  </si>
  <si>
    <t xml:space="preserve"> 3/4"</t>
  </si>
  <si>
    <t xml:space="preserve"> 1"</t>
  </si>
  <si>
    <t xml:space="preserve"> 1 1/4"</t>
  </si>
  <si>
    <t xml:space="preserve"> 1 1/2"</t>
  </si>
  <si>
    <t xml:space="preserve"> 2"</t>
  </si>
  <si>
    <t xml:space="preserve"> 2 1/2"</t>
  </si>
  <si>
    <t xml:space="preserve"> 3 1/2"</t>
  </si>
  <si>
    <t xml:space="preserve"> 4"</t>
  </si>
  <si>
    <t xml:space="preserve"> 5"</t>
  </si>
  <si>
    <t xml:space="preserve"> 6"</t>
  </si>
  <si>
    <t>Вход / Выход</t>
  </si>
  <si>
    <t>проверочное сечение труб</t>
  </si>
  <si>
    <t>DN10</t>
  </si>
  <si>
    <t>DN15</t>
  </si>
  <si>
    <t>DN20</t>
  </si>
  <si>
    <t>DN25</t>
  </si>
  <si>
    <t>DN32</t>
  </si>
  <si>
    <t>DN40</t>
  </si>
  <si>
    <t>DN50</t>
  </si>
  <si>
    <t>DN65</t>
  </si>
  <si>
    <t>DN80</t>
  </si>
  <si>
    <t>DN90</t>
  </si>
  <si>
    <t>DN100</t>
  </si>
  <si>
    <t>DN125</t>
  </si>
  <si>
    <t>DN150</t>
  </si>
  <si>
    <t>DN33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</si>
</sst>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13"/>
      </patternFill>
    </fill>
    <fill>
      <patternFill patternType="solid">
        <fgColor indexed="26"/>
        <bgColor indexed="9"/>
      </patternFill>
    </fill>
    <fill>
      <patternFill patternType="solid">
        <fgColor indexed="53"/>
        <bgColor indexed="29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57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2" fontId="0" fillId="2" borderId="0" xfId="0" applyNumberFormat="1" applyFill="1"/>
    <xf numFmtId="0" fontId="1" fillId="2" borderId="0" xfId="0" applyFont="1" applyFill="1"/>
    <xf numFmtId="0" fontId="0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1" fillId="0" borderId="0" xfId="0" applyFont="1"/>
    <xf numFmtId="164" fontId="0" fillId="0" borderId="0" xfId="0" applyNumberFormat="1"/>
    <xf numFmtId="165" fontId="0" fillId="0" borderId="0" xfId="0" applyNumberFormat="1"/>
    <xf numFmtId="0" fontId="1" fillId="4" borderId="0" xfId="0" applyFont="1" applyFill="1"/>
    <xf numFmtId="0" fontId="0" fillId="4" borderId="0" xfId="0" applyFont="1" applyFill="1"/>
    <xf numFmtId="0" fontId="0" fillId="4" borderId="0" xfId="0" applyFill="1"/>
    <xf numFmtId="0" fontId="0" fillId="5" borderId="0" xfId="0" applyFont="1" applyFill="1"/>
    <xf numFmtId="2" fontId="0" fillId="0" borderId="0" xfId="0" applyNumberFormat="1"/>
    <xf numFmtId="0" fontId="1" fillId="0" borderId="0" xfId="0" applyFont="1" applyFill="1" applyAlignment="1">
      <alignment horizontal="left"/>
    </xf>
    <xf numFmtId="1" fontId="0" fillId="0" borderId="0" xfId="0" applyNumberFormat="1" applyFill="1"/>
    <xf numFmtId="0" fontId="1" fillId="0" borderId="0" xfId="0" applyFont="1" applyFill="1"/>
    <xf numFmtId="0" fontId="0" fillId="0" borderId="0" xfId="0" applyFont="1" applyFill="1"/>
    <xf numFmtId="2" fontId="0" fillId="0" borderId="0" xfId="0" applyNumberFormat="1" applyFill="1"/>
    <xf numFmtId="1" fontId="0" fillId="2" borderId="0" xfId="0" applyNumberFormat="1" applyFill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6" borderId="1" xfId="0" applyFill="1" applyBorder="1"/>
    <xf numFmtId="2" fontId="0" fillId="2" borderId="0" xfId="0" applyNumberFormat="1" applyFont="1" applyFill="1"/>
    <xf numFmtId="0" fontId="5" fillId="0" borderId="0" xfId="0" applyFont="1"/>
    <xf numFmtId="0" fontId="8" fillId="0" borderId="0" xfId="0" applyFont="1" applyAlignment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5" fillId="0" borderId="0" xfId="0" applyNumberFormat="1" applyFont="1"/>
    <xf numFmtId="49" fontId="5" fillId="0" borderId="0" xfId="0" applyNumberFormat="1" applyFont="1" applyAlignment="1"/>
    <xf numFmtId="49" fontId="5" fillId="0" borderId="0" xfId="0" applyNumberFormat="1" applyFont="1" applyAlignment="1" applyProtection="1"/>
    <xf numFmtId="49" fontId="5" fillId="0" borderId="0" xfId="0" applyNumberFormat="1" applyFont="1" applyProtection="1"/>
    <xf numFmtId="49" fontId="6" fillId="0" borderId="0" xfId="0" applyNumberFormat="1" applyFont="1" applyProtection="1"/>
    <xf numFmtId="0" fontId="12" fillId="0" borderId="0" xfId="0" applyFont="1"/>
    <xf numFmtId="49" fontId="7" fillId="0" borderId="0" xfId="0" applyNumberFormat="1" applyFont="1"/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8" fillId="0" borderId="11" xfId="0" applyNumberFormat="1" applyFont="1" applyBorder="1"/>
    <xf numFmtId="49" fontId="8" fillId="0" borderId="15" xfId="0" applyNumberFormat="1" applyFont="1" applyBorder="1"/>
    <xf numFmtId="49" fontId="8" fillId="0" borderId="19" xfId="0" applyNumberFormat="1" applyFont="1" applyBorder="1"/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left"/>
    </xf>
    <xf numFmtId="164" fontId="5" fillId="7" borderId="0" xfId="0" applyNumberFormat="1" applyFont="1" applyFill="1" applyAlignment="1">
      <alignment horizontal="left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0" fontId="12" fillId="0" borderId="0" xfId="0" applyFont="1" applyFill="1"/>
    <xf numFmtId="0" fontId="10" fillId="0" borderId="0" xfId="0" applyFont="1" applyBorder="1" applyAlignment="1"/>
    <xf numFmtId="0" fontId="0" fillId="0" borderId="0" xfId="0" applyAlignment="1">
      <alignment horizontal="right"/>
    </xf>
    <xf numFmtId="0" fontId="1" fillId="8" borderId="0" xfId="0" applyFont="1" applyFill="1" applyAlignment="1">
      <alignment horizontal="left"/>
    </xf>
    <xf numFmtId="0" fontId="0" fillId="8" borderId="0" xfId="0" applyFont="1" applyFill="1"/>
    <xf numFmtId="0" fontId="1" fillId="8" borderId="0" xfId="0" applyFont="1" applyFill="1"/>
    <xf numFmtId="0" fontId="1" fillId="9" borderId="0" xfId="0" applyFont="1" applyFill="1" applyAlignment="1">
      <alignment horizontal="left"/>
    </xf>
    <xf numFmtId="2" fontId="0" fillId="9" borderId="0" xfId="0" applyNumberFormat="1" applyFill="1"/>
    <xf numFmtId="0" fontId="1" fillId="9" borderId="0" xfId="0" applyFont="1" applyFill="1"/>
    <xf numFmtId="0" fontId="0" fillId="9" borderId="0" xfId="0" applyFont="1" applyFill="1"/>
    <xf numFmtId="0" fontId="0" fillId="8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2" fontId="8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left"/>
    </xf>
    <xf numFmtId="166" fontId="5" fillId="7" borderId="0" xfId="0" applyNumberFormat="1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49" fontId="5" fillId="7" borderId="20" xfId="0" applyNumberFormat="1" applyFont="1" applyFill="1" applyBorder="1" applyAlignment="1" applyProtection="1">
      <alignment horizontal="center"/>
      <protection locked="0"/>
    </xf>
    <xf numFmtId="49" fontId="5" fillId="7" borderId="21" xfId="0" applyNumberFormat="1" applyFont="1" applyFill="1" applyBorder="1" applyAlignment="1" applyProtection="1">
      <alignment horizontal="center"/>
      <protection locked="0"/>
    </xf>
    <xf numFmtId="49" fontId="5" fillId="7" borderId="22" xfId="0" applyNumberFormat="1" applyFont="1" applyFill="1" applyBorder="1" applyAlignment="1" applyProtection="1">
      <alignment horizontal="center"/>
      <protection locked="0"/>
    </xf>
    <xf numFmtId="0" fontId="7" fillId="7" borderId="2" xfId="0" applyFont="1" applyFill="1" applyBorder="1" applyAlignment="1">
      <alignment horizontal="left"/>
    </xf>
    <xf numFmtId="1" fontId="5" fillId="7" borderId="0" xfId="0" applyNumberFormat="1" applyFont="1" applyFill="1" applyBorder="1" applyAlignment="1">
      <alignment horizontal="left"/>
    </xf>
    <xf numFmtId="0" fontId="5" fillId="7" borderId="0" xfId="0" applyFont="1" applyFill="1" applyAlignment="1">
      <alignment horizontal="left"/>
    </xf>
    <xf numFmtId="49" fontId="5" fillId="7" borderId="3" xfId="0" applyNumberFormat="1" applyFont="1" applyFill="1" applyBorder="1" applyAlignment="1" applyProtection="1">
      <alignment horizontal="center" wrapText="1"/>
      <protection locked="0"/>
    </xf>
    <xf numFmtId="49" fontId="5" fillId="7" borderId="4" xfId="0" applyNumberFormat="1" applyFont="1" applyFill="1" applyBorder="1" applyAlignment="1" applyProtection="1">
      <alignment horizontal="center" wrapText="1"/>
      <protection locked="0"/>
    </xf>
    <xf numFmtId="49" fontId="5" fillId="7" borderId="5" xfId="0" applyNumberFormat="1" applyFont="1" applyFill="1" applyBorder="1" applyAlignment="1" applyProtection="1">
      <alignment horizontal="center" wrapText="1"/>
      <protection locked="0"/>
    </xf>
    <xf numFmtId="49" fontId="5" fillId="7" borderId="6" xfId="0" applyNumberFormat="1" applyFont="1" applyFill="1" applyBorder="1" applyAlignment="1" applyProtection="1">
      <alignment horizontal="center" wrapText="1"/>
      <protection locked="0"/>
    </xf>
    <xf numFmtId="49" fontId="5" fillId="7" borderId="0" xfId="0" applyNumberFormat="1" applyFont="1" applyFill="1" applyBorder="1" applyAlignment="1" applyProtection="1">
      <alignment horizontal="center" wrapText="1"/>
      <protection locked="0"/>
    </xf>
    <xf numFmtId="49" fontId="5" fillId="7" borderId="7" xfId="0" applyNumberFormat="1" applyFont="1" applyFill="1" applyBorder="1" applyAlignment="1" applyProtection="1">
      <alignment horizontal="center" wrapText="1"/>
      <protection locked="0"/>
    </xf>
    <xf numFmtId="49" fontId="5" fillId="7" borderId="8" xfId="0" applyNumberFormat="1" applyFont="1" applyFill="1" applyBorder="1" applyAlignment="1" applyProtection="1">
      <alignment horizontal="center" wrapText="1"/>
      <protection locked="0"/>
    </xf>
    <xf numFmtId="49" fontId="5" fillId="7" borderId="9" xfId="0" applyNumberFormat="1" applyFont="1" applyFill="1" applyBorder="1" applyAlignment="1" applyProtection="1">
      <alignment horizontal="center" wrapText="1"/>
      <protection locked="0"/>
    </xf>
    <xf numFmtId="49" fontId="5" fillId="7" borderId="10" xfId="0" applyNumberFormat="1" applyFont="1" applyFill="1" applyBorder="1" applyAlignment="1" applyProtection="1">
      <alignment horizontal="center" wrapText="1"/>
      <protection locked="0"/>
    </xf>
    <xf numFmtId="0" fontId="9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49" fontId="5" fillId="7" borderId="12" xfId="0" applyNumberFormat="1" applyFont="1" applyFill="1" applyBorder="1" applyAlignment="1" applyProtection="1">
      <alignment horizontal="center"/>
      <protection locked="0"/>
    </xf>
    <xf numFmtId="49" fontId="5" fillId="7" borderId="13" xfId="0" applyNumberFormat="1" applyFont="1" applyFill="1" applyBorder="1" applyAlignment="1" applyProtection="1">
      <alignment horizontal="center"/>
      <protection locked="0"/>
    </xf>
    <xf numFmtId="49" fontId="5" fillId="7" borderId="14" xfId="0" applyNumberFormat="1" applyFont="1" applyFill="1" applyBorder="1" applyAlignment="1" applyProtection="1">
      <alignment horizontal="center"/>
      <protection locked="0"/>
    </xf>
    <xf numFmtId="49" fontId="5" fillId="7" borderId="16" xfId="0" applyNumberFormat="1" applyFont="1" applyFill="1" applyBorder="1" applyAlignment="1" applyProtection="1">
      <alignment horizontal="center"/>
      <protection locked="0"/>
    </xf>
    <xf numFmtId="49" fontId="5" fillId="7" borderId="17" xfId="0" applyNumberFormat="1" applyFont="1" applyFill="1" applyBorder="1" applyAlignment="1" applyProtection="1">
      <alignment horizontal="center"/>
      <protection locked="0"/>
    </xf>
    <xf numFmtId="49" fontId="5" fillId="7" borderId="18" xfId="0" applyNumberFormat="1" applyFont="1" applyFill="1" applyBorder="1" applyAlignment="1" applyProtection="1">
      <alignment horizontal="center"/>
      <protection locked="0"/>
    </xf>
    <xf numFmtId="0" fontId="8" fillId="7" borderId="0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30</xdr:row>
      <xdr:rowOff>95248</xdr:rowOff>
    </xdr:from>
    <xdr:to>
      <xdr:col>7</xdr:col>
      <xdr:colOff>38357</xdr:colOff>
      <xdr:row>40</xdr:row>
      <xdr:rowOff>152399</xdr:rowOff>
    </xdr:to>
    <xdr:pic>
      <xdr:nvPicPr>
        <xdr:cNvPr id="3129" name="Рисунок 2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939" t="33391" r="9965" b="23962"/>
        <a:stretch/>
      </xdr:blipFill>
      <xdr:spPr bwMode="auto">
        <a:xfrm>
          <a:off x="647700" y="5819773"/>
          <a:ext cx="4629407" cy="1866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criotechnika.ru" TargetMode="External"/><Relationship Id="rId1" Type="http://schemas.openxmlformats.org/officeDocument/2006/relationships/hyperlink" Target="http://www.criotechnika.ru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showRowColHeaders="0" tabSelected="1" zoomScaleNormal="100" zoomScaleSheetLayoutView="115" zoomScalePageLayoutView="115" workbookViewId="0">
      <selection activeCell="M12" sqref="M12"/>
    </sheetView>
  </sheetViews>
  <sheetFormatPr defaultColWidth="11.5703125" defaultRowHeight="14.25" x14ac:dyDescent="0.2"/>
  <cols>
    <col min="1" max="1" width="11.5703125" style="40"/>
    <col min="2" max="2" width="10.28515625" style="40" customWidth="1"/>
    <col min="3" max="3" width="9.85546875" style="40" customWidth="1"/>
    <col min="4" max="4" width="12.7109375" style="40" customWidth="1"/>
    <col min="5" max="5" width="5.7109375" style="40" customWidth="1"/>
    <col min="6" max="6" width="16.5703125" style="40" customWidth="1"/>
    <col min="7" max="7" width="11.85546875" style="40" customWidth="1"/>
    <col min="8" max="8" width="8.42578125" style="40" customWidth="1"/>
    <col min="9" max="9" width="11.7109375" style="40" customWidth="1"/>
    <col min="10" max="16384" width="11.5703125" style="40"/>
  </cols>
  <sheetData>
    <row r="1" spans="1:10" s="35" customFormat="1" ht="12.75" x14ac:dyDescent="0.2">
      <c r="E1" s="36"/>
      <c r="F1" s="36"/>
      <c r="G1" s="37" t="s">
        <v>115</v>
      </c>
    </row>
    <row r="2" spans="1:10" s="35" customFormat="1" ht="12.75" x14ac:dyDescent="0.2">
      <c r="E2" s="38"/>
      <c r="F2" s="38"/>
      <c r="G2" s="38" t="s">
        <v>116</v>
      </c>
    </row>
    <row r="3" spans="1:10" s="35" customFormat="1" ht="12.75" x14ac:dyDescent="0.2">
      <c r="E3" s="38"/>
      <c r="F3" s="38"/>
      <c r="G3" s="38" t="s">
        <v>117</v>
      </c>
    </row>
    <row r="4" spans="1:10" s="35" customFormat="1" ht="12.75" x14ac:dyDescent="0.2">
      <c r="E4" s="38"/>
      <c r="F4" s="38"/>
      <c r="G4" s="39" t="s">
        <v>109</v>
      </c>
    </row>
    <row r="5" spans="1:10" s="35" customFormat="1" ht="15" customHeight="1" x14ac:dyDescent="0.2">
      <c r="E5" s="38"/>
      <c r="F5" s="38"/>
      <c r="G5" s="39" t="s">
        <v>110</v>
      </c>
    </row>
    <row r="6" spans="1:10" ht="26.1" customHeight="1" thickBot="1" x14ac:dyDescent="0.35">
      <c r="A6" s="87" t="s">
        <v>132</v>
      </c>
      <c r="B6" s="87"/>
      <c r="C6" s="87"/>
      <c r="D6" s="87"/>
      <c r="E6" s="87"/>
      <c r="F6" s="87"/>
      <c r="G6" s="87"/>
      <c r="H6" s="87"/>
      <c r="I6" s="29"/>
      <c r="J6" s="29"/>
    </row>
    <row r="7" spans="1:10" x14ac:dyDescent="0.2">
      <c r="A7" s="30"/>
      <c r="B7" s="30"/>
      <c r="C7" s="30"/>
      <c r="D7" s="30"/>
      <c r="E7" s="30"/>
      <c r="F7" s="30"/>
      <c r="G7" s="30"/>
      <c r="H7" s="30"/>
      <c r="I7" s="29"/>
      <c r="J7" s="29"/>
    </row>
    <row r="8" spans="1:10" ht="18" customHeight="1" thickBot="1" x14ac:dyDescent="0.25">
      <c r="A8" s="88" t="s">
        <v>170</v>
      </c>
      <c r="B8" s="88"/>
      <c r="C8" s="88"/>
      <c r="D8" s="88"/>
      <c r="E8" s="28"/>
      <c r="F8" s="75" t="s">
        <v>171</v>
      </c>
      <c r="G8" s="75"/>
      <c r="H8" s="54"/>
      <c r="I8" s="29"/>
      <c r="J8" s="29"/>
    </row>
    <row r="9" spans="1:10" x14ac:dyDescent="0.2">
      <c r="A9" s="28"/>
      <c r="B9" s="69" t="s">
        <v>111</v>
      </c>
      <c r="C9" s="69"/>
      <c r="D9" s="69"/>
      <c r="E9" s="69"/>
      <c r="F9" s="48"/>
      <c r="G9" s="28" t="s">
        <v>11</v>
      </c>
      <c r="H9" s="33"/>
      <c r="I9" s="29"/>
      <c r="J9" s="29"/>
    </row>
    <row r="10" spans="1:10" x14ac:dyDescent="0.2">
      <c r="A10" s="30"/>
      <c r="B10" s="69" t="s">
        <v>112</v>
      </c>
      <c r="C10" s="69"/>
      <c r="D10" s="69"/>
      <c r="E10" s="69"/>
      <c r="F10" s="47"/>
      <c r="G10" s="31" t="s">
        <v>0</v>
      </c>
      <c r="H10" s="33"/>
      <c r="I10" s="29"/>
      <c r="J10" s="29"/>
    </row>
    <row r="11" spans="1:10" x14ac:dyDescent="0.2">
      <c r="A11" s="30"/>
      <c r="B11" s="69" t="s">
        <v>113</v>
      </c>
      <c r="C11" s="69"/>
      <c r="D11" s="69"/>
      <c r="E11" s="69"/>
      <c r="F11" s="67"/>
      <c r="G11" s="31" t="s">
        <v>0</v>
      </c>
      <c r="H11" s="33"/>
      <c r="I11" s="29"/>
      <c r="J11" s="29"/>
    </row>
    <row r="12" spans="1:10" s="53" customFormat="1" x14ac:dyDescent="0.2">
      <c r="A12" s="49"/>
      <c r="B12" s="50"/>
      <c r="C12" s="50"/>
      <c r="D12" s="50"/>
      <c r="E12" s="50"/>
      <c r="F12" s="50"/>
      <c r="G12" s="50"/>
      <c r="H12" s="51"/>
      <c r="I12" s="52"/>
      <c r="J12" s="52"/>
    </row>
    <row r="13" spans="1:10" ht="18.75" customHeight="1" x14ac:dyDescent="0.2">
      <c r="A13" s="88" t="s">
        <v>122</v>
      </c>
      <c r="B13" s="88"/>
      <c r="C13" s="88"/>
      <c r="D13" s="88"/>
      <c r="E13" s="88"/>
      <c r="F13" s="88" t="str">
        <f>IF(F11&lt;=25,IF(((F10-F11)&lt;=5),"не требуется","ВЫБРАТЬ!"),"ВЫБРАТЬ!")</f>
        <v>не требуется</v>
      </c>
      <c r="G13" s="88"/>
      <c r="H13" s="33"/>
      <c r="I13" s="29"/>
      <c r="J13" s="29"/>
    </row>
    <row r="14" spans="1:10" x14ac:dyDescent="0.2">
      <c r="A14" s="30"/>
      <c r="B14" s="69" t="s">
        <v>140</v>
      </c>
      <c r="C14" s="69"/>
      <c r="D14" s="69"/>
      <c r="E14" s="69"/>
      <c r="F14" s="95" t="s">
        <v>143</v>
      </c>
      <c r="G14" s="95"/>
      <c r="H14" s="33"/>
      <c r="I14" s="29"/>
      <c r="J14" s="29"/>
    </row>
    <row r="15" spans="1:10" x14ac:dyDescent="0.2">
      <c r="A15" s="30"/>
      <c r="B15" s="69" t="s">
        <v>144</v>
      </c>
      <c r="C15" s="69"/>
      <c r="D15" s="69"/>
      <c r="E15" s="69"/>
      <c r="F15" s="50" t="str">
        <f>IF(F11&gt;25,25,IF((F10-F11)&gt;5,F11,СПРАВОЧНИК!E2))</f>
        <v>-</v>
      </c>
      <c r="G15" s="31" t="s">
        <v>0</v>
      </c>
      <c r="H15" s="33"/>
      <c r="I15" s="29"/>
      <c r="J15" s="29"/>
    </row>
    <row r="16" spans="1:10" x14ac:dyDescent="0.2">
      <c r="A16" s="30"/>
      <c r="B16" s="69" t="s">
        <v>145</v>
      </c>
      <c r="C16" s="69"/>
      <c r="D16" s="69"/>
      <c r="E16" s="69"/>
      <c r="F16" s="50" t="str">
        <f>IF(F15&lt;&gt;СПРАВОЧНИК!E2,IF(F15-5&gt;VLOOKUP(F14,СПРАВОЧНИК!E2:H13,4),F15-5,"ПЕРЕМЕРЗАНИЕ!"),СПРАВОЧНИК!E2)</f>
        <v>-</v>
      </c>
      <c r="G16" s="31" t="s">
        <v>0</v>
      </c>
      <c r="H16" s="33"/>
      <c r="I16" s="29"/>
      <c r="J16" s="29"/>
    </row>
    <row r="17" spans="1:10" x14ac:dyDescent="0.2">
      <c r="B17" s="31"/>
      <c r="C17" s="31"/>
      <c r="D17" s="31"/>
      <c r="E17" s="31"/>
      <c r="F17" s="32"/>
      <c r="G17" s="31"/>
      <c r="I17" s="29"/>
      <c r="J17" s="29"/>
    </row>
    <row r="18" spans="1:10" ht="18.75" customHeight="1" thickBot="1" x14ac:dyDescent="0.25">
      <c r="A18" s="88" t="s">
        <v>123</v>
      </c>
      <c r="B18" s="88"/>
      <c r="C18" s="88"/>
      <c r="D18" s="88"/>
      <c r="E18" s="88"/>
      <c r="F18" s="96"/>
      <c r="G18" s="96"/>
      <c r="H18" s="96"/>
      <c r="I18" s="29"/>
      <c r="J18" s="29"/>
    </row>
    <row r="19" spans="1:10" x14ac:dyDescent="0.2">
      <c r="A19" s="28"/>
      <c r="B19" s="97" t="s">
        <v>185</v>
      </c>
      <c r="C19" s="97"/>
      <c r="D19" s="97"/>
      <c r="E19" s="97"/>
      <c r="F19" s="65" t="str">
        <f>IF(F11&lt;F10,IF(F11&gt;VLOOKUP(ВВОД!F8,СПРАВОЧНИК!A2:D16,4),РАСЧЕТ!B8,"ОШИБКА ВВОДА!"),"ОШИБКА ВВОДА!")</f>
        <v>ОШИБКА ВВОДА!</v>
      </c>
      <c r="G19" s="66" t="s">
        <v>17</v>
      </c>
      <c r="H19" s="33"/>
      <c r="I19" s="29"/>
      <c r="J19" s="29"/>
    </row>
    <row r="20" spans="1:10" x14ac:dyDescent="0.2">
      <c r="A20" s="28"/>
      <c r="B20" s="69" t="s">
        <v>125</v>
      </c>
      <c r="C20" s="69"/>
      <c r="D20" s="69"/>
      <c r="E20" s="69"/>
      <c r="F20" s="76" t="s">
        <v>149</v>
      </c>
      <c r="G20" s="76"/>
      <c r="H20" s="33"/>
      <c r="I20" s="29"/>
      <c r="J20" s="29"/>
    </row>
    <row r="21" spans="1:10" x14ac:dyDescent="0.2">
      <c r="A21" s="28"/>
      <c r="B21" s="69" t="s">
        <v>124</v>
      </c>
      <c r="C21" s="69"/>
      <c r="D21" s="69"/>
      <c r="E21" s="69"/>
      <c r="F21" s="70" t="s">
        <v>149</v>
      </c>
      <c r="G21" s="70"/>
      <c r="H21" s="33"/>
      <c r="I21" s="29"/>
      <c r="J21" s="29"/>
    </row>
    <row r="22" spans="1:10" x14ac:dyDescent="0.2">
      <c r="A22" s="28"/>
      <c r="B22" s="69" t="s">
        <v>126</v>
      </c>
      <c r="C22" s="69"/>
      <c r="D22" s="69"/>
      <c r="E22" s="69"/>
      <c r="F22" s="71" t="s">
        <v>159</v>
      </c>
      <c r="G22" s="71"/>
      <c r="H22" s="30"/>
      <c r="I22" s="29"/>
      <c r="J22" s="29"/>
    </row>
    <row r="23" spans="1:10" x14ac:dyDescent="0.2">
      <c r="B23" s="69" t="s">
        <v>127</v>
      </c>
      <c r="C23" s="69"/>
      <c r="D23" s="69"/>
      <c r="E23" s="69"/>
      <c r="F23" s="77" t="s">
        <v>149</v>
      </c>
      <c r="G23" s="77"/>
      <c r="I23" s="29"/>
      <c r="J23" s="29"/>
    </row>
    <row r="24" spans="1:10" x14ac:dyDescent="0.2">
      <c r="B24" s="69" t="s">
        <v>128</v>
      </c>
      <c r="C24" s="69"/>
      <c r="D24" s="69"/>
      <c r="E24" s="69"/>
      <c r="F24" s="77" t="s">
        <v>149</v>
      </c>
      <c r="G24" s="77"/>
      <c r="I24" s="29"/>
      <c r="J24" s="29"/>
    </row>
    <row r="25" spans="1:10" x14ac:dyDescent="0.2">
      <c r="B25" s="69" t="s">
        <v>131</v>
      </c>
      <c r="C25" s="69"/>
      <c r="D25" s="69"/>
      <c r="E25" s="69"/>
      <c r="F25" s="77" t="s">
        <v>157</v>
      </c>
      <c r="G25" s="77"/>
      <c r="I25" s="29"/>
      <c r="J25" s="29"/>
    </row>
    <row r="26" spans="1:10" x14ac:dyDescent="0.2">
      <c r="B26" s="69" t="s">
        <v>136</v>
      </c>
      <c r="C26" s="69"/>
      <c r="D26" s="69"/>
      <c r="E26" s="69"/>
      <c r="F26" s="77" t="s">
        <v>118</v>
      </c>
      <c r="G26" s="77"/>
      <c r="I26" s="29"/>
      <c r="J26" s="29"/>
    </row>
    <row r="27" spans="1:10" x14ac:dyDescent="0.2">
      <c r="B27" s="69" t="s">
        <v>129</v>
      </c>
      <c r="C27" s="69"/>
      <c r="D27" s="69"/>
      <c r="E27" s="69"/>
      <c r="F27" s="77" t="s">
        <v>118</v>
      </c>
      <c r="G27" s="77"/>
      <c r="I27" s="29"/>
      <c r="J27" s="29"/>
    </row>
    <row r="28" spans="1:10" x14ac:dyDescent="0.2">
      <c r="B28" s="69" t="s">
        <v>130</v>
      </c>
      <c r="C28" s="69"/>
      <c r="D28" s="69"/>
      <c r="E28" s="69"/>
      <c r="F28" s="77" t="s">
        <v>161</v>
      </c>
      <c r="G28" s="77"/>
      <c r="I28" s="29"/>
      <c r="J28" s="29"/>
    </row>
    <row r="29" spans="1:10" x14ac:dyDescent="0.2">
      <c r="A29" s="30"/>
      <c r="B29" s="30"/>
      <c r="C29" s="30"/>
      <c r="D29" s="30"/>
      <c r="E29" s="30"/>
      <c r="F29" s="30"/>
      <c r="G29" s="30"/>
      <c r="H29" s="30"/>
      <c r="I29" s="29"/>
      <c r="J29" s="29"/>
    </row>
    <row r="30" spans="1:10" ht="18.75" customHeight="1" thickBot="1" x14ac:dyDescent="0.25">
      <c r="A30" s="88" t="s">
        <v>133</v>
      </c>
      <c r="B30" s="88"/>
      <c r="C30" s="88"/>
      <c r="D30" s="88"/>
      <c r="E30" s="88"/>
      <c r="F30" s="34"/>
      <c r="G30" s="34"/>
      <c r="H30" s="34"/>
      <c r="I30" s="29"/>
      <c r="J30" s="29"/>
    </row>
    <row r="31" spans="1:10" x14ac:dyDescent="0.2">
      <c r="A31" s="30"/>
      <c r="B31" s="30"/>
      <c r="C31" s="30"/>
      <c r="D31" s="30"/>
      <c r="E31" s="30"/>
      <c r="F31" s="30"/>
      <c r="G31" s="30"/>
      <c r="H31" s="30"/>
      <c r="I31" s="29"/>
      <c r="J31" s="29"/>
    </row>
    <row r="32" spans="1:10" x14ac:dyDescent="0.2">
      <c r="I32" s="29"/>
      <c r="J32" s="29"/>
    </row>
    <row r="33" spans="1:10" x14ac:dyDescent="0.2">
      <c r="I33" s="29"/>
      <c r="J33" s="29"/>
    </row>
    <row r="34" spans="1:10" x14ac:dyDescent="0.2">
      <c r="I34" s="29"/>
      <c r="J34" s="29"/>
    </row>
    <row r="35" spans="1:10" x14ac:dyDescent="0.2">
      <c r="I35" s="28"/>
      <c r="J35" s="28"/>
    </row>
    <row r="36" spans="1:10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spans="1:10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</row>
    <row r="38" spans="1:10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</row>
    <row r="39" spans="1:10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0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0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</row>
    <row r="42" spans="1:10" s="35" customFormat="1" ht="18.75" customHeight="1" thickBot="1" x14ac:dyDescent="0.25">
      <c r="A42" s="41" t="s">
        <v>134</v>
      </c>
    </row>
    <row r="43" spans="1:10" s="35" customFormat="1" ht="15" customHeight="1" x14ac:dyDescent="0.2">
      <c r="A43" s="78"/>
      <c r="B43" s="79"/>
      <c r="C43" s="79"/>
      <c r="D43" s="79"/>
      <c r="E43" s="79"/>
      <c r="F43" s="79"/>
      <c r="G43" s="79"/>
      <c r="H43" s="80"/>
    </row>
    <row r="44" spans="1:10" s="35" customFormat="1" ht="15" customHeight="1" x14ac:dyDescent="0.2">
      <c r="A44" s="81"/>
      <c r="B44" s="82"/>
      <c r="C44" s="82"/>
      <c r="D44" s="82"/>
      <c r="E44" s="82"/>
      <c r="F44" s="82"/>
      <c r="G44" s="82"/>
      <c r="H44" s="83"/>
    </row>
    <row r="45" spans="1:10" s="35" customFormat="1" ht="15" customHeight="1" thickBot="1" x14ac:dyDescent="0.25">
      <c r="A45" s="84"/>
      <c r="B45" s="85"/>
      <c r="C45" s="85"/>
      <c r="D45" s="85"/>
      <c r="E45" s="85"/>
      <c r="F45" s="85"/>
      <c r="G45" s="85"/>
      <c r="H45" s="86"/>
    </row>
    <row r="46" spans="1:10" s="35" customFormat="1" ht="15" customHeight="1" x14ac:dyDescent="0.2">
      <c r="A46" s="42"/>
      <c r="B46" s="42"/>
      <c r="C46" s="42"/>
      <c r="D46" s="42"/>
      <c r="E46" s="42"/>
      <c r="F46" s="42"/>
      <c r="G46" s="42"/>
    </row>
    <row r="47" spans="1:10" s="35" customFormat="1" ht="18.75" customHeight="1" thickBot="1" x14ac:dyDescent="0.25">
      <c r="A47" s="41" t="s">
        <v>135</v>
      </c>
    </row>
    <row r="48" spans="1:10" s="35" customFormat="1" ht="15" customHeight="1" x14ac:dyDescent="0.2">
      <c r="A48" s="43" t="s">
        <v>119</v>
      </c>
      <c r="B48" s="89"/>
      <c r="C48" s="90"/>
      <c r="D48" s="90"/>
      <c r="E48" s="90"/>
      <c r="F48" s="90"/>
      <c r="G48" s="90"/>
      <c r="H48" s="91"/>
    </row>
    <row r="49" spans="1:8" s="35" customFormat="1" ht="12.75" x14ac:dyDescent="0.2">
      <c r="A49" s="44" t="s">
        <v>120</v>
      </c>
      <c r="B49" s="92"/>
      <c r="C49" s="93"/>
      <c r="D49" s="93"/>
      <c r="E49" s="93"/>
      <c r="F49" s="93"/>
      <c r="G49" s="93"/>
      <c r="H49" s="94"/>
    </row>
    <row r="50" spans="1:8" s="35" customFormat="1" ht="15.75" customHeight="1" thickBot="1" x14ac:dyDescent="0.25">
      <c r="A50" s="45" t="s">
        <v>121</v>
      </c>
      <c r="B50" s="72"/>
      <c r="C50" s="73"/>
      <c r="D50" s="73"/>
      <c r="E50" s="73"/>
      <c r="F50" s="73"/>
      <c r="G50" s="73"/>
      <c r="H50" s="74"/>
    </row>
    <row r="51" spans="1:8" s="35" customFormat="1" ht="12.75" x14ac:dyDescent="0.2"/>
  </sheetData>
  <sheetProtection algorithmName="SHA-512" hashValue="qLbMJL6lTGLLevEffb+6HzzzbKk+FGR/mJ/v2h53KNRn09OpcLmQ9E+pGg6jXEoFgzKj8PpW2oviLqTdFNm9wg==" saltValue="wgYHv98H7RiN3Rt4kpNrVQ==" spinCount="100000" sheet="1" objects="1" scenarios="1"/>
  <protectedRanges>
    <protectedRange sqref="B48:H50 A43:H45 F20:G28 F14:G14 F9:F11 F8:G8" name="Диапазон1"/>
  </protectedRanges>
  <mergeCells count="38">
    <mergeCell ref="A6:H6"/>
    <mergeCell ref="A8:D8"/>
    <mergeCell ref="B9:E9"/>
    <mergeCell ref="B48:H48"/>
    <mergeCell ref="B49:H49"/>
    <mergeCell ref="B10:E10"/>
    <mergeCell ref="B11:E11"/>
    <mergeCell ref="F14:G14"/>
    <mergeCell ref="B14:E14"/>
    <mergeCell ref="A13:E13"/>
    <mergeCell ref="B16:E16"/>
    <mergeCell ref="F13:G13"/>
    <mergeCell ref="A30:E30"/>
    <mergeCell ref="A18:E18"/>
    <mergeCell ref="F18:H18"/>
    <mergeCell ref="B19:E19"/>
    <mergeCell ref="B50:H50"/>
    <mergeCell ref="F8:G8"/>
    <mergeCell ref="B15:E15"/>
    <mergeCell ref="F20:G20"/>
    <mergeCell ref="F27:G27"/>
    <mergeCell ref="F28:G28"/>
    <mergeCell ref="B23:E23"/>
    <mergeCell ref="B24:E24"/>
    <mergeCell ref="B27:E27"/>
    <mergeCell ref="B28:E28"/>
    <mergeCell ref="B25:E25"/>
    <mergeCell ref="A43:H45"/>
    <mergeCell ref="F23:G23"/>
    <mergeCell ref="F24:G24"/>
    <mergeCell ref="F25:G25"/>
    <mergeCell ref="F26:G26"/>
    <mergeCell ref="B22:E22"/>
    <mergeCell ref="B20:E20"/>
    <mergeCell ref="B26:E26"/>
    <mergeCell ref="F21:G21"/>
    <mergeCell ref="F22:G22"/>
    <mergeCell ref="B21:E21"/>
  </mergeCells>
  <dataValidations count="3">
    <dataValidation type="decimal" errorStyle="warning" showInputMessage="1" showErrorMessage="1" errorTitle="Проверьте данные" error="Необходимо ввести значение от 0 до 15 м." sqref="C29:C34 C11:C12 C14:C15" xr:uid="{00000000-0002-0000-0000-000000000000}">
      <formula1>0</formula1>
      <formula2>15</formula2>
    </dataValidation>
    <dataValidation type="decimal" allowBlank="1" showInputMessage="1" showErrorMessage="1" sqref="F9" xr:uid="{00000000-0002-0000-0000-000001000000}">
      <formula1>0.1</formula1>
      <formula2>400</formula2>
    </dataValidation>
    <dataValidation type="whole" allowBlank="1" showInputMessage="1" showErrorMessage="1" sqref="F10:F11" xr:uid="{00000000-0002-0000-0000-000002000000}">
      <formula1>-30</formula1>
      <formula2>100</formula2>
    </dataValidation>
  </dataValidations>
  <hyperlinks>
    <hyperlink ref="G4" r:id="rId1" xr:uid="{00000000-0004-0000-0000-000000000000}"/>
    <hyperlink ref="G5" r:id="rId2" xr:uid="{00000000-0004-0000-0000-000001000000}"/>
  </hyperlinks>
  <pageMargins left="0.7" right="0.7" top="0.75" bottom="0.75" header="0.3" footer="0.3"/>
  <pageSetup paperSize="9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СПРАВОЧНИК!$A$2:$A$15</xm:f>
          </x14:formula1>
          <xm:sqref>F8:G8</xm:sqref>
        </x14:dataValidation>
        <x14:dataValidation type="list" allowBlank="1" showInputMessage="1" showErrorMessage="1" xr:uid="{00000000-0002-0000-0000-000004000000}">
          <x14:formula1>
            <xm:f>СПРАВОЧНИК!$E$2:$E$13</xm:f>
          </x14:formula1>
          <xm:sqref>F14:G14</xm:sqref>
        </x14:dataValidation>
        <x14:dataValidation type="list" allowBlank="1" showInputMessage="1" showErrorMessage="1" xr:uid="{00000000-0002-0000-0000-000005000000}">
          <x14:formula1>
            <xm:f>СПРАВОЧНИК!$I$2:$I$7</xm:f>
          </x14:formula1>
          <xm:sqref>F20:G20</xm:sqref>
        </x14:dataValidation>
        <x14:dataValidation type="list" allowBlank="1" showInputMessage="1" showErrorMessage="1" xr:uid="{00000000-0002-0000-0000-000006000000}">
          <x14:formula1>
            <xm:f>СПРАВОЧНИК!$I$8:$I$11</xm:f>
          </x14:formula1>
          <xm:sqref>F21:G21</xm:sqref>
        </x14:dataValidation>
        <x14:dataValidation type="list" allowBlank="1" showInputMessage="1" showErrorMessage="1" xr:uid="{00000000-0002-0000-0000-000007000000}">
          <x14:formula1>
            <xm:f>СПРАВОЧНИК!$I$12:$I$15</xm:f>
          </x14:formula1>
          <xm:sqref>F22:G22</xm:sqref>
        </x14:dataValidation>
        <x14:dataValidation type="list" allowBlank="1" showInputMessage="1" showErrorMessage="1" xr:uid="{00000000-0002-0000-0000-000008000000}">
          <x14:formula1>
            <xm:f>СПРАВОЧНИК!$I$16:$I$19</xm:f>
          </x14:formula1>
          <xm:sqref>F23:G23</xm:sqref>
        </x14:dataValidation>
        <x14:dataValidation type="list" allowBlank="1" showInputMessage="1" showErrorMessage="1" xr:uid="{00000000-0002-0000-0000-000009000000}">
          <x14:formula1>
            <xm:f>СПРАВОЧНИК!$I$21:$I$22</xm:f>
          </x14:formula1>
          <xm:sqref>F24:G24</xm:sqref>
        </x14:dataValidation>
        <x14:dataValidation type="list" allowBlank="1" showInputMessage="1" showErrorMessage="1" xr:uid="{00000000-0002-0000-0000-00000A000000}">
          <x14:formula1>
            <xm:f>СПРАВОЧНИК!$I$23:$I$24</xm:f>
          </x14:formula1>
          <xm:sqref>F25:G25</xm:sqref>
        </x14:dataValidation>
        <x14:dataValidation type="list" allowBlank="1" showInputMessage="1" showErrorMessage="1" xr:uid="{00000000-0002-0000-0000-00000B000000}">
          <x14:formula1>
            <xm:f>СПРАВОЧНИК!$I$25:$I$26</xm:f>
          </x14:formula1>
          <xm:sqref>F26:G27</xm:sqref>
        </x14:dataValidation>
        <x14:dataValidation type="list" allowBlank="1" showInputMessage="1" showErrorMessage="1" xr:uid="{00000000-0002-0000-0000-00000C000000}">
          <x14:formula1>
            <xm:f>СПРАВОЧНИК!$I$27:$I$28</xm:f>
          </x14:formula1>
          <xm:sqref>F28:G28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workbookViewId="0">
      <selection activeCell="N2" sqref="N2:N27"/>
    </sheetView>
  </sheetViews>
  <sheetFormatPr defaultRowHeight="15" x14ac:dyDescent="0.25"/>
  <cols>
    <col min="1" max="1" width="22.5703125" customWidth="1"/>
  </cols>
  <sheetData>
    <row r="1" spans="1:16" x14ac:dyDescent="0.25">
      <c r="A1" s="98" t="s">
        <v>141</v>
      </c>
      <c r="B1" s="98"/>
      <c r="C1" s="98"/>
      <c r="D1" s="98"/>
      <c r="E1" s="98" t="s">
        <v>142</v>
      </c>
      <c r="F1" s="98"/>
      <c r="G1" s="98"/>
      <c r="H1" s="98"/>
      <c r="I1" s="98" t="s">
        <v>150</v>
      </c>
      <c r="J1" s="98"/>
      <c r="K1" s="98"/>
      <c r="L1" s="98"/>
      <c r="M1" s="98" t="s">
        <v>187</v>
      </c>
      <c r="N1" s="98"/>
      <c r="O1" s="98"/>
      <c r="P1" s="98"/>
    </row>
    <row r="2" spans="1:16" x14ac:dyDescent="0.25">
      <c r="A2" t="s">
        <v>114</v>
      </c>
      <c r="B2">
        <v>3.85</v>
      </c>
      <c r="C2">
        <v>1033</v>
      </c>
      <c r="D2">
        <v>-0.56000000000000005</v>
      </c>
      <c r="E2" s="46" t="s">
        <v>143</v>
      </c>
      <c r="F2">
        <f>VLOOKUP(ВВОД!F8,СПРАВОЧНИК!E3:H13,2)</f>
        <v>4.2</v>
      </c>
      <c r="G2">
        <f>VLOOKUP(ВВОД!F8,СПРАВОЧНИК!E3:H13,3)</f>
        <v>1000</v>
      </c>
      <c r="H2">
        <f>VLOOKUP(ВВОД!F8,СПРАВОЧНИК!E3:H13,4)</f>
        <v>0</v>
      </c>
      <c r="I2" t="s">
        <v>149</v>
      </c>
      <c r="M2">
        <v>10</v>
      </c>
      <c r="N2" s="68" t="s">
        <v>202</v>
      </c>
      <c r="O2" s="55" t="s">
        <v>188</v>
      </c>
    </row>
    <row r="3" spans="1:16" x14ac:dyDescent="0.25">
      <c r="A3" t="s">
        <v>137</v>
      </c>
      <c r="B3">
        <v>3.81</v>
      </c>
      <c r="C3">
        <v>1050</v>
      </c>
      <c r="D3">
        <v>-2.2000000000000002</v>
      </c>
      <c r="E3" t="s">
        <v>171</v>
      </c>
      <c r="F3">
        <v>4.2</v>
      </c>
      <c r="G3">
        <v>1000</v>
      </c>
      <c r="H3">
        <v>0</v>
      </c>
      <c r="I3" t="s">
        <v>163</v>
      </c>
      <c r="M3">
        <v>15</v>
      </c>
      <c r="N3" s="68" t="s">
        <v>203</v>
      </c>
      <c r="O3" s="55" t="s">
        <v>189</v>
      </c>
    </row>
    <row r="4" spans="1:16" x14ac:dyDescent="0.25">
      <c r="A4" t="s">
        <v>138</v>
      </c>
      <c r="B4">
        <v>3.81</v>
      </c>
      <c r="C4">
        <v>1050</v>
      </c>
      <c r="D4">
        <v>-2.2000000000000002</v>
      </c>
      <c r="E4" t="s">
        <v>172</v>
      </c>
      <c r="F4">
        <v>3.88</v>
      </c>
      <c r="G4">
        <v>1030</v>
      </c>
      <c r="H4">
        <v>-15</v>
      </c>
      <c r="I4" t="s">
        <v>164</v>
      </c>
      <c r="M4">
        <v>20</v>
      </c>
      <c r="N4" s="68" t="s">
        <v>204</v>
      </c>
      <c r="O4" s="55" t="s">
        <v>190</v>
      </c>
    </row>
    <row r="5" spans="1:16" x14ac:dyDescent="0.25">
      <c r="A5" t="s">
        <v>171</v>
      </c>
      <c r="B5">
        <v>4.2</v>
      </c>
      <c r="C5">
        <v>1000</v>
      </c>
      <c r="D5">
        <v>0</v>
      </c>
      <c r="E5" t="s">
        <v>173</v>
      </c>
      <c r="F5">
        <v>3.72</v>
      </c>
      <c r="G5">
        <v>1045</v>
      </c>
      <c r="H5">
        <v>-20</v>
      </c>
      <c r="I5" t="s">
        <v>165</v>
      </c>
      <c r="M5">
        <v>25</v>
      </c>
      <c r="N5" s="68" t="s">
        <v>205</v>
      </c>
      <c r="O5" s="55" t="s">
        <v>191</v>
      </c>
    </row>
    <row r="6" spans="1:16" x14ac:dyDescent="0.25">
      <c r="A6" t="s">
        <v>172</v>
      </c>
      <c r="B6">
        <v>3.88</v>
      </c>
      <c r="C6">
        <v>1030</v>
      </c>
      <c r="D6">
        <v>-15</v>
      </c>
      <c r="E6" t="s">
        <v>174</v>
      </c>
      <c r="F6">
        <v>3.68</v>
      </c>
      <c r="G6">
        <v>1050</v>
      </c>
      <c r="H6">
        <v>-25</v>
      </c>
      <c r="I6" t="s">
        <v>166</v>
      </c>
      <c r="M6">
        <v>30</v>
      </c>
      <c r="N6" s="68" t="s">
        <v>206</v>
      </c>
      <c r="O6" s="55" t="s">
        <v>191</v>
      </c>
    </row>
    <row r="7" spans="1:16" x14ac:dyDescent="0.25">
      <c r="A7" t="s">
        <v>173</v>
      </c>
      <c r="B7">
        <v>3.72</v>
      </c>
      <c r="C7">
        <v>1045</v>
      </c>
      <c r="D7">
        <v>-20</v>
      </c>
      <c r="E7" t="s">
        <v>175</v>
      </c>
      <c r="F7">
        <v>3.45</v>
      </c>
      <c r="G7">
        <v>1066</v>
      </c>
      <c r="H7">
        <v>-35</v>
      </c>
      <c r="I7" t="s">
        <v>167</v>
      </c>
      <c r="M7">
        <v>35</v>
      </c>
      <c r="N7" s="68" t="s">
        <v>215</v>
      </c>
      <c r="O7" s="55" t="s">
        <v>191</v>
      </c>
    </row>
    <row r="8" spans="1:16" x14ac:dyDescent="0.25">
      <c r="A8" t="s">
        <v>174</v>
      </c>
      <c r="B8">
        <v>3.68</v>
      </c>
      <c r="C8">
        <v>1050</v>
      </c>
      <c r="D8">
        <v>-25</v>
      </c>
      <c r="E8" t="s">
        <v>176</v>
      </c>
      <c r="F8">
        <v>3.45</v>
      </c>
      <c r="G8">
        <v>1068</v>
      </c>
      <c r="H8">
        <v>-45</v>
      </c>
      <c r="I8" t="s">
        <v>149</v>
      </c>
      <c r="M8">
        <v>40</v>
      </c>
      <c r="N8" s="68" t="s">
        <v>207</v>
      </c>
      <c r="O8" s="55" t="s">
        <v>192</v>
      </c>
    </row>
    <row r="9" spans="1:16" x14ac:dyDescent="0.25">
      <c r="A9" t="s">
        <v>175</v>
      </c>
      <c r="B9">
        <v>3.45</v>
      </c>
      <c r="C9">
        <v>1066</v>
      </c>
      <c r="D9">
        <v>-35</v>
      </c>
      <c r="E9" t="s">
        <v>177</v>
      </c>
      <c r="F9">
        <v>3.69</v>
      </c>
      <c r="G9">
        <v>1038</v>
      </c>
      <c r="H9">
        <v>-15</v>
      </c>
      <c r="I9" t="s">
        <v>146</v>
      </c>
      <c r="M9">
        <v>50</v>
      </c>
      <c r="N9" s="68" t="s">
        <v>208</v>
      </c>
      <c r="O9" s="55" t="s">
        <v>193</v>
      </c>
    </row>
    <row r="10" spans="1:16" x14ac:dyDescent="0.25">
      <c r="A10" t="s">
        <v>176</v>
      </c>
      <c r="B10">
        <v>3.45</v>
      </c>
      <c r="C10">
        <v>1068</v>
      </c>
      <c r="D10">
        <v>-45</v>
      </c>
      <c r="E10" t="s">
        <v>178</v>
      </c>
      <c r="F10">
        <v>3.61</v>
      </c>
      <c r="G10">
        <v>1045</v>
      </c>
      <c r="H10">
        <v>-20</v>
      </c>
      <c r="I10" t="s">
        <v>147</v>
      </c>
      <c r="M10">
        <v>65</v>
      </c>
      <c r="N10" s="68" t="s">
        <v>209</v>
      </c>
      <c r="O10" s="55" t="s">
        <v>194</v>
      </c>
    </row>
    <row r="11" spans="1:16" x14ac:dyDescent="0.25">
      <c r="A11" t="s">
        <v>177</v>
      </c>
      <c r="B11">
        <v>3.69</v>
      </c>
      <c r="C11">
        <v>1038</v>
      </c>
      <c r="D11">
        <v>-15</v>
      </c>
      <c r="E11" t="s">
        <v>179</v>
      </c>
      <c r="F11">
        <v>3.52</v>
      </c>
      <c r="G11">
        <v>1052</v>
      </c>
      <c r="H11">
        <v>-25</v>
      </c>
      <c r="I11" t="s">
        <v>148</v>
      </c>
      <c r="M11">
        <v>70</v>
      </c>
      <c r="N11" s="68" t="s">
        <v>210</v>
      </c>
      <c r="O11" s="55" t="s">
        <v>195</v>
      </c>
    </row>
    <row r="12" spans="1:16" x14ac:dyDescent="0.25">
      <c r="A12" t="s">
        <v>178</v>
      </c>
      <c r="B12">
        <v>3.61</v>
      </c>
      <c r="C12">
        <v>1045</v>
      </c>
      <c r="D12">
        <v>-20</v>
      </c>
      <c r="E12" t="s">
        <v>180</v>
      </c>
      <c r="F12">
        <v>3.44</v>
      </c>
      <c r="G12">
        <v>1058</v>
      </c>
      <c r="H12">
        <v>-30</v>
      </c>
      <c r="I12" t="s">
        <v>149</v>
      </c>
      <c r="M12">
        <v>75</v>
      </c>
      <c r="N12" s="68" t="s">
        <v>210</v>
      </c>
      <c r="O12" s="55" t="s">
        <v>195</v>
      </c>
    </row>
    <row r="13" spans="1:16" x14ac:dyDescent="0.25">
      <c r="A13" t="s">
        <v>179</v>
      </c>
      <c r="B13">
        <v>3.52</v>
      </c>
      <c r="C13">
        <v>1052</v>
      </c>
      <c r="D13">
        <v>-25</v>
      </c>
      <c r="E13" t="s">
        <v>181</v>
      </c>
      <c r="F13">
        <v>3.35</v>
      </c>
      <c r="G13">
        <v>1064</v>
      </c>
      <c r="H13">
        <v>-35</v>
      </c>
      <c r="I13" t="s">
        <v>158</v>
      </c>
      <c r="M13">
        <v>80</v>
      </c>
      <c r="N13" s="68" t="s">
        <v>210</v>
      </c>
      <c r="O13" s="55" t="s">
        <v>195</v>
      </c>
    </row>
    <row r="14" spans="1:16" x14ac:dyDescent="0.25">
      <c r="A14" t="s">
        <v>180</v>
      </c>
      <c r="B14">
        <v>3.44</v>
      </c>
      <c r="C14">
        <v>1058</v>
      </c>
      <c r="D14">
        <v>-30</v>
      </c>
      <c r="I14" t="s">
        <v>159</v>
      </c>
      <c r="M14">
        <v>85</v>
      </c>
      <c r="N14" s="68" t="s">
        <v>211</v>
      </c>
      <c r="O14" s="55" t="s">
        <v>196</v>
      </c>
    </row>
    <row r="15" spans="1:16" x14ac:dyDescent="0.25">
      <c r="A15" t="s">
        <v>181</v>
      </c>
      <c r="B15">
        <v>3.35</v>
      </c>
      <c r="C15">
        <v>1064</v>
      </c>
      <c r="D15">
        <v>-35</v>
      </c>
      <c r="I15" t="s">
        <v>160</v>
      </c>
      <c r="M15">
        <v>90</v>
      </c>
      <c r="N15" s="68" t="s">
        <v>211</v>
      </c>
      <c r="O15" s="55" t="s">
        <v>196</v>
      </c>
    </row>
    <row r="16" spans="1:16" x14ac:dyDescent="0.25">
      <c r="I16" t="s">
        <v>149</v>
      </c>
      <c r="M16">
        <v>95</v>
      </c>
      <c r="N16" s="68" t="s">
        <v>212</v>
      </c>
      <c r="O16" s="55" t="s">
        <v>197</v>
      </c>
    </row>
    <row r="17" spans="9:15" x14ac:dyDescent="0.25">
      <c r="I17" t="s">
        <v>151</v>
      </c>
      <c r="M17">
        <v>100</v>
      </c>
      <c r="N17" s="68" t="s">
        <v>212</v>
      </c>
      <c r="O17" s="55" t="s">
        <v>197</v>
      </c>
    </row>
    <row r="18" spans="9:15" x14ac:dyDescent="0.25">
      <c r="I18" t="s">
        <v>152</v>
      </c>
      <c r="M18">
        <v>105</v>
      </c>
      <c r="N18" s="68" t="s">
        <v>212</v>
      </c>
      <c r="O18" s="55" t="s">
        <v>197</v>
      </c>
    </row>
    <row r="19" spans="9:15" x14ac:dyDescent="0.25">
      <c r="I19" t="s">
        <v>153</v>
      </c>
      <c r="M19">
        <v>110</v>
      </c>
      <c r="N19" s="68" t="s">
        <v>212</v>
      </c>
      <c r="O19" s="55" t="s">
        <v>197</v>
      </c>
    </row>
    <row r="20" spans="9:15" x14ac:dyDescent="0.25">
      <c r="I20" t="s">
        <v>149</v>
      </c>
      <c r="M20">
        <v>115</v>
      </c>
      <c r="N20" s="68" t="s">
        <v>213</v>
      </c>
      <c r="O20" s="55" t="s">
        <v>198</v>
      </c>
    </row>
    <row r="21" spans="9:15" x14ac:dyDescent="0.25">
      <c r="I21" t="s">
        <v>154</v>
      </c>
      <c r="M21">
        <v>120</v>
      </c>
      <c r="N21" s="68" t="s">
        <v>213</v>
      </c>
      <c r="O21" s="55" t="s">
        <v>198</v>
      </c>
    </row>
    <row r="22" spans="9:15" x14ac:dyDescent="0.25">
      <c r="I22" t="s">
        <v>155</v>
      </c>
      <c r="M22">
        <v>125</v>
      </c>
      <c r="N22" s="68" t="s">
        <v>213</v>
      </c>
      <c r="O22" s="55" t="s">
        <v>198</v>
      </c>
    </row>
    <row r="23" spans="9:15" x14ac:dyDescent="0.25">
      <c r="I23" t="s">
        <v>156</v>
      </c>
      <c r="M23">
        <v>130</v>
      </c>
      <c r="N23" s="68" t="s">
        <v>213</v>
      </c>
      <c r="O23" s="55" t="s">
        <v>198</v>
      </c>
    </row>
    <row r="24" spans="9:15" x14ac:dyDescent="0.25">
      <c r="I24" t="s">
        <v>157</v>
      </c>
      <c r="M24">
        <v>135</v>
      </c>
      <c r="N24" s="68" t="s">
        <v>214</v>
      </c>
      <c r="O24" s="55" t="s">
        <v>199</v>
      </c>
    </row>
    <row r="25" spans="9:15" x14ac:dyDescent="0.25">
      <c r="I25" t="s">
        <v>139</v>
      </c>
      <c r="M25">
        <v>140</v>
      </c>
      <c r="N25" s="68" t="s">
        <v>214</v>
      </c>
      <c r="O25" s="55" t="s">
        <v>199</v>
      </c>
    </row>
    <row r="26" spans="9:15" x14ac:dyDescent="0.25">
      <c r="I26" t="s">
        <v>118</v>
      </c>
      <c r="M26">
        <v>145</v>
      </c>
      <c r="N26" s="68" t="s">
        <v>214</v>
      </c>
      <c r="O26" s="55" t="s">
        <v>199</v>
      </c>
    </row>
    <row r="27" spans="9:15" x14ac:dyDescent="0.25">
      <c r="I27" t="s">
        <v>161</v>
      </c>
      <c r="M27">
        <v>150</v>
      </c>
      <c r="N27" s="68" t="s">
        <v>214</v>
      </c>
      <c r="O27" s="55" t="s">
        <v>199</v>
      </c>
    </row>
    <row r="28" spans="9:15" x14ac:dyDescent="0.25">
      <c r="I28" t="s">
        <v>162</v>
      </c>
    </row>
  </sheetData>
  <mergeCells count="4">
    <mergeCell ref="A1:D1"/>
    <mergeCell ref="E1:H1"/>
    <mergeCell ref="I1:L1"/>
    <mergeCell ref="M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topLeftCell="A7" workbookViewId="0">
      <selection activeCell="B28" sqref="B28"/>
    </sheetView>
  </sheetViews>
  <sheetFormatPr defaultRowHeight="15" x14ac:dyDescent="0.25"/>
  <cols>
    <col min="1" max="1" width="25.85546875" customWidth="1"/>
    <col min="2" max="2" width="23.85546875" customWidth="1"/>
    <col min="3" max="3" width="12.85546875" customWidth="1"/>
    <col min="4" max="4" width="54" customWidth="1"/>
    <col min="5" max="5" width="22.85546875" customWidth="1"/>
    <col min="6" max="6" width="11.140625" customWidth="1"/>
  </cols>
  <sheetData>
    <row r="1" spans="1:8" x14ac:dyDescent="0.25">
      <c r="A1" s="7" t="s">
        <v>27</v>
      </c>
      <c r="B1" s="8" t="str">
        <f>ВВОД!F8</f>
        <v>вода</v>
      </c>
      <c r="C1" s="9"/>
      <c r="D1" s="7"/>
      <c r="E1" s="10"/>
      <c r="F1" s="2"/>
      <c r="G1" s="2"/>
    </row>
    <row r="2" spans="1:8" x14ac:dyDescent="0.25">
      <c r="A2" s="10" t="s">
        <v>26</v>
      </c>
      <c r="B2">
        <f>ВВОД!F10</f>
        <v>0</v>
      </c>
      <c r="C2" s="1" t="s">
        <v>0</v>
      </c>
      <c r="D2" t="s">
        <v>1</v>
      </c>
    </row>
    <row r="3" spans="1:8" x14ac:dyDescent="0.25">
      <c r="A3" s="1" t="s">
        <v>2</v>
      </c>
      <c r="B3">
        <f>ВВОД!F11</f>
        <v>0</v>
      </c>
      <c r="C3" s="1" t="s">
        <v>0</v>
      </c>
      <c r="D3" t="s">
        <v>3</v>
      </c>
    </row>
    <row r="4" spans="1:8" x14ac:dyDescent="0.25">
      <c r="A4" s="2" t="s">
        <v>4</v>
      </c>
      <c r="B4">
        <f>VLOOKUP(B1,СПРАВОЧНИК!A2:D16,2)</f>
        <v>4.2</v>
      </c>
      <c r="C4" s="1" t="s">
        <v>5</v>
      </c>
      <c r="D4" t="s">
        <v>6</v>
      </c>
    </row>
    <row r="5" spans="1:8" x14ac:dyDescent="0.25">
      <c r="A5" s="2" t="s">
        <v>7</v>
      </c>
      <c r="B5">
        <f>VLOOKUP(B1,СПРАВОЧНИК!A2:D16,3)</f>
        <v>1000</v>
      </c>
      <c r="C5" s="1" t="s">
        <v>8</v>
      </c>
      <c r="D5" t="s">
        <v>9</v>
      </c>
    </row>
    <row r="6" spans="1:8" x14ac:dyDescent="0.25">
      <c r="A6" s="2" t="s">
        <v>10</v>
      </c>
      <c r="B6">
        <f>ВВОД!F9</f>
        <v>0</v>
      </c>
      <c r="C6" s="1" t="s">
        <v>11</v>
      </c>
      <c r="D6" t="s">
        <v>12</v>
      </c>
    </row>
    <row r="7" spans="1:8" x14ac:dyDescent="0.25">
      <c r="A7" s="2" t="s">
        <v>13</v>
      </c>
      <c r="B7">
        <f>B6*B5</f>
        <v>0</v>
      </c>
      <c r="C7" s="1" t="s">
        <v>14</v>
      </c>
      <c r="D7" t="s">
        <v>15</v>
      </c>
    </row>
    <row r="8" spans="1:8" x14ac:dyDescent="0.25">
      <c r="A8" s="3" t="s">
        <v>16</v>
      </c>
      <c r="B8" s="4">
        <f>B7*B4*(B2-B3)/3600</f>
        <v>0</v>
      </c>
      <c r="C8" s="5" t="s">
        <v>17</v>
      </c>
      <c r="D8" s="6" t="s">
        <v>18</v>
      </c>
    </row>
    <row r="10" spans="1:8" x14ac:dyDescent="0.25">
      <c r="A10" s="7" t="s">
        <v>19</v>
      </c>
      <c r="B10" s="8" t="str">
        <f>ВВОД!F13</f>
        <v>не требуется</v>
      </c>
      <c r="C10" s="9"/>
      <c r="D10" s="7"/>
      <c r="E10" s="10"/>
      <c r="F10" s="2"/>
      <c r="G10" s="2"/>
      <c r="H10" s="10"/>
    </row>
    <row r="11" spans="1:8" x14ac:dyDescent="0.25">
      <c r="A11" s="10" t="s">
        <v>20</v>
      </c>
      <c r="B11">
        <f>VLOOKUP(ВВОД!F14,СПРАВОЧНИК!E2:H13,2)</f>
        <v>4.2</v>
      </c>
      <c r="C11" s="1" t="s">
        <v>5</v>
      </c>
      <c r="D11" t="s">
        <v>22</v>
      </c>
    </row>
    <row r="12" spans="1:8" x14ac:dyDescent="0.25">
      <c r="A12" s="2" t="s">
        <v>21</v>
      </c>
      <c r="B12">
        <f>VLOOKUP(ВВОД!F14,СПРАВОЧНИК!E2:H13,3)</f>
        <v>1000</v>
      </c>
      <c r="C12" s="1" t="s">
        <v>8</v>
      </c>
      <c r="D12" t="s">
        <v>23</v>
      </c>
    </row>
    <row r="13" spans="1:8" x14ac:dyDescent="0.25">
      <c r="A13" s="2" t="s">
        <v>24</v>
      </c>
      <c r="B13" s="55" t="str">
        <f>IFERROR(B8/(B11*(B14-B15))*3600/B12,"-")</f>
        <v>-</v>
      </c>
      <c r="C13" s="1" t="s">
        <v>11</v>
      </c>
      <c r="D13" t="s">
        <v>25</v>
      </c>
    </row>
    <row r="14" spans="1:8" x14ac:dyDescent="0.25">
      <c r="A14" s="1" t="s">
        <v>169</v>
      </c>
      <c r="B14" s="55" t="str">
        <f>ВВОД!F15</f>
        <v>-</v>
      </c>
      <c r="C14" s="1" t="s">
        <v>0</v>
      </c>
      <c r="D14" t="s">
        <v>3</v>
      </c>
    </row>
    <row r="15" spans="1:8" x14ac:dyDescent="0.25">
      <c r="A15" s="10" t="s">
        <v>168</v>
      </c>
      <c r="B15" s="55" t="str">
        <f>ВВОД!F16</f>
        <v>-</v>
      </c>
      <c r="C15" s="1" t="s">
        <v>0</v>
      </c>
      <c r="D15" t="s">
        <v>1</v>
      </c>
    </row>
    <row r="17" spans="1:9" ht="15.75" x14ac:dyDescent="0.25">
      <c r="A17" s="99" t="s">
        <v>31</v>
      </c>
      <c r="B17" s="99"/>
      <c r="C17" s="99"/>
      <c r="D17" s="99"/>
      <c r="E17" s="99"/>
      <c r="F17" s="99"/>
      <c r="G17" s="99"/>
      <c r="H17" s="99"/>
      <c r="I17" s="99"/>
    </row>
    <row r="18" spans="1:9" x14ac:dyDescent="0.25">
      <c r="A18" s="2" t="s">
        <v>32</v>
      </c>
      <c r="B18">
        <f>B8*1.1*1000</f>
        <v>0</v>
      </c>
      <c r="C18" s="1" t="s">
        <v>33</v>
      </c>
      <c r="D18" t="s">
        <v>106</v>
      </c>
      <c r="F18" s="6" t="s">
        <v>34</v>
      </c>
      <c r="G18" s="6"/>
    </row>
    <row r="19" spans="1:9" x14ac:dyDescent="0.25">
      <c r="A19" s="2" t="s">
        <v>35</v>
      </c>
      <c r="B19">
        <f>IFERROR((B14-B15),(B2-B3))</f>
        <v>0</v>
      </c>
      <c r="C19" s="1" t="s">
        <v>36</v>
      </c>
      <c r="D19" t="s">
        <v>37</v>
      </c>
    </row>
    <row r="20" spans="1:9" x14ac:dyDescent="0.25">
      <c r="A20" s="2" t="s">
        <v>4</v>
      </c>
      <c r="B20">
        <f>B11*1000</f>
        <v>4200</v>
      </c>
      <c r="C20" s="1" t="s">
        <v>38</v>
      </c>
      <c r="D20" t="s">
        <v>39</v>
      </c>
    </row>
    <row r="21" spans="1:9" x14ac:dyDescent="0.25">
      <c r="A21" s="2" t="s">
        <v>7</v>
      </c>
      <c r="B21">
        <f>B12</f>
        <v>1000</v>
      </c>
      <c r="C21" s="1" t="s">
        <v>8</v>
      </c>
      <c r="D21" t="s">
        <v>40</v>
      </c>
    </row>
    <row r="22" spans="1:9" x14ac:dyDescent="0.25">
      <c r="A22" s="2" t="s">
        <v>13</v>
      </c>
      <c r="B22" s="11" t="e">
        <f>B18/(B19*B20)</f>
        <v>#DIV/0!</v>
      </c>
      <c r="C22" s="1" t="s">
        <v>41</v>
      </c>
      <c r="D22" t="s">
        <v>42</v>
      </c>
    </row>
    <row r="23" spans="1:9" x14ac:dyDescent="0.25">
      <c r="A23" s="2" t="s">
        <v>10</v>
      </c>
      <c r="B23" s="12" t="e">
        <f>B22/B21</f>
        <v>#DIV/0!</v>
      </c>
      <c r="C23" s="1" t="s">
        <v>43</v>
      </c>
      <c r="D23" t="s">
        <v>44</v>
      </c>
      <c r="F23" t="e">
        <f>B23*3600</f>
        <v>#DIV/0!</v>
      </c>
      <c r="G23" t="s">
        <v>45</v>
      </c>
      <c r="H23" t="e">
        <f>F23*12</f>
        <v>#DIV/0!</v>
      </c>
      <c r="I23" t="s">
        <v>46</v>
      </c>
    </row>
    <row r="24" spans="1:9" x14ac:dyDescent="0.25">
      <c r="A24" s="18" t="s">
        <v>53</v>
      </c>
      <c r="B24">
        <v>1.2</v>
      </c>
      <c r="C24" s="20" t="s">
        <v>54</v>
      </c>
      <c r="D24" s="21" t="s">
        <v>184</v>
      </c>
      <c r="E24" s="21"/>
      <c r="F24" s="21"/>
      <c r="G24" s="21"/>
      <c r="H24" s="21"/>
      <c r="I24" s="21"/>
    </row>
    <row r="25" spans="1:9" x14ac:dyDescent="0.25">
      <c r="A25" s="2" t="s">
        <v>50</v>
      </c>
      <c r="B25" t="e">
        <f>B23/B24</f>
        <v>#DIV/0!</v>
      </c>
      <c r="C25" s="1" t="s">
        <v>51</v>
      </c>
      <c r="D25" t="s">
        <v>52</v>
      </c>
      <c r="E25" s="12">
        <f>(3.14*(B28/1000)^2)/4</f>
        <v>7.0846250000000006E-3</v>
      </c>
      <c r="F25" t="s">
        <v>201</v>
      </c>
    </row>
    <row r="26" spans="1:9" x14ac:dyDescent="0.25">
      <c r="A26" s="56" t="s">
        <v>47</v>
      </c>
      <c r="B26" s="57" t="e">
        <f>(4*B25/3.14)^0.5*1000</f>
        <v>#DIV/0!</v>
      </c>
      <c r="C26" s="58" t="s">
        <v>48</v>
      </c>
      <c r="D26" s="57" t="s">
        <v>182</v>
      </c>
      <c r="E26" s="21"/>
      <c r="F26" s="21"/>
      <c r="G26" s="21"/>
      <c r="H26" s="21"/>
      <c r="I26" s="21"/>
    </row>
    <row r="27" spans="1:9" x14ac:dyDescent="0.25">
      <c r="A27" s="56"/>
      <c r="B27" s="64" t="e">
        <f>VLOOKUP(CEILING(B26,5),СПРАВОЧНИК!M2:O27,2)</f>
        <v>#DIV/0!</v>
      </c>
      <c r="C27" s="63" t="e">
        <f>VLOOKUP(CEILING(B26,5),СПРАВОЧНИК!M2:O27,3)</f>
        <v>#DIV/0!</v>
      </c>
      <c r="D27" s="57" t="s">
        <v>200</v>
      </c>
      <c r="E27" s="21"/>
      <c r="F27" s="21"/>
      <c r="G27" s="21"/>
      <c r="H27" s="21"/>
      <c r="I27" s="21"/>
    </row>
    <row r="28" spans="1:9" x14ac:dyDescent="0.25">
      <c r="A28" s="3" t="s">
        <v>47</v>
      </c>
      <c r="B28" s="6">
        <v>95</v>
      </c>
      <c r="C28" s="5" t="s">
        <v>48</v>
      </c>
      <c r="D28" s="6" t="s">
        <v>183</v>
      </c>
      <c r="E28" s="21"/>
      <c r="F28" s="21"/>
      <c r="G28" s="21"/>
      <c r="H28" s="6" t="s">
        <v>56</v>
      </c>
      <c r="I28" s="6"/>
    </row>
    <row r="29" spans="1:9" x14ac:dyDescent="0.25">
      <c r="A29" s="59" t="s">
        <v>53</v>
      </c>
      <c r="B29" s="60" t="e">
        <f>B23/E25</f>
        <v>#DIV/0!</v>
      </c>
      <c r="C29" s="61" t="s">
        <v>54</v>
      </c>
      <c r="D29" s="62" t="s">
        <v>55</v>
      </c>
      <c r="E29" s="21"/>
      <c r="F29" s="21"/>
      <c r="G29" s="21"/>
      <c r="H29" s="6" t="s">
        <v>60</v>
      </c>
      <c r="I29" s="6" t="s">
        <v>61</v>
      </c>
    </row>
    <row r="30" spans="1:9" x14ac:dyDescent="0.25">
      <c r="A30" s="2" t="s">
        <v>57</v>
      </c>
      <c r="B30">
        <v>30</v>
      </c>
      <c r="C30" s="1" t="s">
        <v>58</v>
      </c>
      <c r="D30" t="s">
        <v>59</v>
      </c>
      <c r="H30" s="6" t="s">
        <v>64</v>
      </c>
      <c r="I30" s="6" t="s">
        <v>65</v>
      </c>
    </row>
    <row r="31" spans="1:9" x14ac:dyDescent="0.25">
      <c r="A31" s="2" t="s">
        <v>62</v>
      </c>
      <c r="B31">
        <v>2.5000000000000001E-2</v>
      </c>
      <c r="C31" s="1"/>
      <c r="D31" t="s">
        <v>63</v>
      </c>
    </row>
    <row r="32" spans="1:9" x14ac:dyDescent="0.25">
      <c r="A32" s="13" t="s">
        <v>66</v>
      </c>
      <c r="B32" s="14">
        <f>E25*B30</f>
        <v>0.21253875000000003</v>
      </c>
      <c r="C32" s="13" t="s">
        <v>29</v>
      </c>
      <c r="D32" s="15" t="s">
        <v>67</v>
      </c>
      <c r="E32" s="15"/>
      <c r="F32" s="15"/>
      <c r="G32" s="15"/>
      <c r="H32" s="15" t="s">
        <v>68</v>
      </c>
      <c r="I32" s="15"/>
    </row>
    <row r="33" spans="1:9" x14ac:dyDescent="0.25">
      <c r="H33" s="16" t="s">
        <v>69</v>
      </c>
      <c r="I33" s="16" t="s">
        <v>70</v>
      </c>
    </row>
    <row r="34" spans="1:9" x14ac:dyDescent="0.25">
      <c r="H34" s="16">
        <v>40</v>
      </c>
      <c r="I34" s="16">
        <v>6500</v>
      </c>
    </row>
    <row r="35" spans="1:9" x14ac:dyDescent="0.25">
      <c r="G35" s="17"/>
      <c r="H35" s="16">
        <v>100</v>
      </c>
      <c r="I35" s="16">
        <f>I34/(H35/H34)</f>
        <v>2600</v>
      </c>
    </row>
    <row r="36" spans="1:9" x14ac:dyDescent="0.25">
      <c r="A36" s="3" t="s">
        <v>28</v>
      </c>
      <c r="B36" s="23">
        <f>FLOOR(B8*(IF(B8&gt;80,8,15)),50)</f>
        <v>0</v>
      </c>
      <c r="C36" s="5" t="s">
        <v>186</v>
      </c>
      <c r="D36" s="6" t="s">
        <v>30</v>
      </c>
    </row>
    <row r="38" spans="1:9" ht="15.75" x14ac:dyDescent="0.25">
      <c r="A38" s="99" t="s">
        <v>71</v>
      </c>
      <c r="B38" s="99"/>
      <c r="C38" s="99"/>
      <c r="D38" s="99"/>
      <c r="E38" s="99"/>
      <c r="F38" s="99"/>
      <c r="G38" s="99"/>
      <c r="H38" s="99"/>
      <c r="I38" s="99"/>
    </row>
    <row r="39" spans="1:9" x14ac:dyDescent="0.25">
      <c r="A39" s="2" t="s">
        <v>10</v>
      </c>
      <c r="B39" s="11" t="e">
        <f>F23</f>
        <v>#DIV/0!</v>
      </c>
      <c r="C39" s="1" t="s">
        <v>45</v>
      </c>
      <c r="D39" t="s">
        <v>44</v>
      </c>
      <c r="F39" t="e">
        <f>B39/3600</f>
        <v>#DIV/0!</v>
      </c>
      <c r="G39" t="s">
        <v>72</v>
      </c>
      <c r="H39" t="e">
        <f>F39*B40</f>
        <v>#DIV/0!</v>
      </c>
      <c r="I39" t="s">
        <v>73</v>
      </c>
    </row>
    <row r="40" spans="1:9" x14ac:dyDescent="0.25">
      <c r="A40" s="2" t="s">
        <v>7</v>
      </c>
      <c r="B40">
        <f>B21</f>
        <v>1000</v>
      </c>
      <c r="C40" s="1" t="s">
        <v>8</v>
      </c>
      <c r="D40" t="s">
        <v>40</v>
      </c>
    </row>
    <row r="41" spans="1:9" x14ac:dyDescent="0.25">
      <c r="A41" s="18" t="s">
        <v>47</v>
      </c>
      <c r="B41" s="19" t="e">
        <f>B26</f>
        <v>#DIV/0!</v>
      </c>
      <c r="C41" s="20" t="s">
        <v>48</v>
      </c>
      <c r="D41" s="21" t="s">
        <v>49</v>
      </c>
    </row>
    <row r="42" spans="1:9" x14ac:dyDescent="0.25">
      <c r="A42" s="2" t="s">
        <v>57</v>
      </c>
      <c r="B42">
        <f>B30</f>
        <v>30</v>
      </c>
      <c r="C42" s="1" t="s">
        <v>58</v>
      </c>
      <c r="D42" t="s">
        <v>59</v>
      </c>
    </row>
    <row r="43" spans="1:9" x14ac:dyDescent="0.25">
      <c r="A43" s="2" t="s">
        <v>50</v>
      </c>
      <c r="B43" s="12" t="e">
        <f>(3.14*(B41/1000)^2)/4</f>
        <v>#DIV/0!</v>
      </c>
      <c r="C43" s="1" t="s">
        <v>51</v>
      </c>
      <c r="D43" t="s">
        <v>52</v>
      </c>
    </row>
    <row r="44" spans="1:9" x14ac:dyDescent="0.25">
      <c r="A44" s="18" t="s">
        <v>53</v>
      </c>
      <c r="B44" s="22" t="e">
        <f>F39/B43</f>
        <v>#DIV/0!</v>
      </c>
      <c r="C44" s="20" t="s">
        <v>54</v>
      </c>
      <c r="D44" s="21" t="s">
        <v>55</v>
      </c>
    </row>
    <row r="45" spans="1:9" x14ac:dyDescent="0.25">
      <c r="A45" s="1" t="s">
        <v>74</v>
      </c>
      <c r="B45">
        <v>0</v>
      </c>
      <c r="C45" s="1" t="s">
        <v>58</v>
      </c>
      <c r="D45" t="s">
        <v>75</v>
      </c>
    </row>
    <row r="46" spans="1:9" x14ac:dyDescent="0.25">
      <c r="A46" s="1" t="s">
        <v>76</v>
      </c>
      <c r="B46">
        <v>0</v>
      </c>
      <c r="C46" s="1" t="s">
        <v>58</v>
      </c>
      <c r="D46" t="s">
        <v>77</v>
      </c>
    </row>
    <row r="47" spans="1:9" x14ac:dyDescent="0.25">
      <c r="A47" s="2" t="s">
        <v>62</v>
      </c>
      <c r="B47">
        <v>0.06</v>
      </c>
      <c r="C47" s="1"/>
      <c r="D47" t="s">
        <v>63</v>
      </c>
    </row>
    <row r="48" spans="1:9" x14ac:dyDescent="0.25">
      <c r="A48" s="1" t="s">
        <v>78</v>
      </c>
      <c r="B48">
        <f>E69</f>
        <v>23.299999999999997</v>
      </c>
      <c r="D48" t="s">
        <v>79</v>
      </c>
    </row>
    <row r="49" spans="1:9" x14ac:dyDescent="0.25">
      <c r="A49" s="5" t="s">
        <v>107</v>
      </c>
      <c r="B49" s="23">
        <v>70000</v>
      </c>
      <c r="C49" s="5" t="s">
        <v>81</v>
      </c>
      <c r="D49" s="6" t="s">
        <v>108</v>
      </c>
      <c r="E49" s="6"/>
      <c r="F49" s="6"/>
      <c r="G49" s="6"/>
      <c r="H49" s="6"/>
      <c r="I49" s="6"/>
    </row>
    <row r="50" spans="1:9" x14ac:dyDescent="0.25">
      <c r="A50" s="5" t="s">
        <v>80</v>
      </c>
      <c r="B50" s="23" t="e">
        <f>B47*(B42/B41)*(B40*B44^2/2)</f>
        <v>#DIV/0!</v>
      </c>
      <c r="C50" s="5" t="s">
        <v>81</v>
      </c>
      <c r="D50" s="6" t="s">
        <v>82</v>
      </c>
      <c r="E50" s="6"/>
      <c r="F50" s="6"/>
      <c r="G50" s="6"/>
      <c r="H50" s="6"/>
      <c r="I50" s="6"/>
    </row>
    <row r="51" spans="1:9" x14ac:dyDescent="0.25">
      <c r="A51" s="5" t="s">
        <v>83</v>
      </c>
      <c r="B51" s="4" t="e">
        <f>((B48*(B44^2))/(2*9.81))*9806.38</f>
        <v>#DIV/0!</v>
      </c>
      <c r="C51" s="5" t="s">
        <v>81</v>
      </c>
      <c r="D51" s="6" t="s">
        <v>84</v>
      </c>
      <c r="E51" s="6"/>
      <c r="F51" s="6"/>
      <c r="G51" s="6"/>
      <c r="H51" s="6"/>
      <c r="I51" s="6"/>
    </row>
    <row r="52" spans="1:9" x14ac:dyDescent="0.25">
      <c r="A52" s="5" t="s">
        <v>85</v>
      </c>
      <c r="B52" s="6">
        <f>B45*B40*9.81</f>
        <v>0</v>
      </c>
      <c r="C52" s="5" t="s">
        <v>81</v>
      </c>
      <c r="D52" s="6" t="s">
        <v>86</v>
      </c>
      <c r="E52" s="6"/>
      <c r="F52" s="6"/>
      <c r="G52" s="6"/>
      <c r="H52" s="6"/>
      <c r="I52" s="6"/>
    </row>
    <row r="53" spans="1:9" x14ac:dyDescent="0.25">
      <c r="A53" s="5" t="s">
        <v>87</v>
      </c>
      <c r="B53" s="6">
        <f>B46*B40*9.81</f>
        <v>0</v>
      </c>
      <c r="C53" s="5" t="s">
        <v>81</v>
      </c>
      <c r="D53" s="6" t="s">
        <v>86</v>
      </c>
      <c r="E53" s="6"/>
      <c r="F53" s="6"/>
      <c r="G53" s="6"/>
      <c r="H53" s="6"/>
      <c r="I53" s="6"/>
    </row>
    <row r="54" spans="1:9" x14ac:dyDescent="0.25">
      <c r="A54" s="5" t="s">
        <v>88</v>
      </c>
      <c r="B54" s="27" t="e">
        <f>B52+B51+B50-B53+B49</f>
        <v>#DIV/0!</v>
      </c>
      <c r="C54" s="5" t="s">
        <v>81</v>
      </c>
      <c r="D54" s="6" t="s">
        <v>89</v>
      </c>
      <c r="E54" s="6"/>
      <c r="F54" s="6"/>
      <c r="G54" s="6"/>
      <c r="H54" s="6"/>
      <c r="I54" s="6"/>
    </row>
    <row r="55" spans="1:9" x14ac:dyDescent="0.25">
      <c r="A55" s="6"/>
      <c r="B55" s="6" t="e">
        <f>B54*0.01019744288922/100</f>
        <v>#DIV/0!</v>
      </c>
      <c r="C55" s="5" t="s">
        <v>58</v>
      </c>
      <c r="D55" s="6"/>
      <c r="E55" s="6"/>
      <c r="F55" s="6"/>
      <c r="G55" s="6"/>
      <c r="H55" s="6"/>
      <c r="I55" s="6"/>
    </row>
    <row r="56" spans="1:9" x14ac:dyDescent="0.25">
      <c r="A56" s="6"/>
      <c r="B56" s="6" t="e">
        <f>B54*0.00001</f>
        <v>#DIV/0!</v>
      </c>
      <c r="C56" s="5" t="s">
        <v>90</v>
      </c>
      <c r="D56" s="6"/>
      <c r="E56" s="6"/>
      <c r="F56" s="6"/>
      <c r="G56" s="6"/>
      <c r="H56" s="6"/>
      <c r="I56" s="6"/>
    </row>
    <row r="59" spans="1:9" x14ac:dyDescent="0.25">
      <c r="A59" s="100" t="s">
        <v>91</v>
      </c>
      <c r="B59" s="100"/>
      <c r="C59" s="100"/>
      <c r="D59" s="100"/>
      <c r="E59" s="100"/>
    </row>
    <row r="60" spans="1:9" ht="51.75" x14ac:dyDescent="0.25">
      <c r="A60" s="24" t="s">
        <v>92</v>
      </c>
      <c r="B60" s="24" t="s">
        <v>93</v>
      </c>
      <c r="C60" s="24" t="s">
        <v>94</v>
      </c>
      <c r="D60" s="24" t="s">
        <v>95</v>
      </c>
      <c r="E60" s="24" t="s">
        <v>96</v>
      </c>
    </row>
    <row r="61" spans="1:9" x14ac:dyDescent="0.25">
      <c r="A61" s="25">
        <v>1</v>
      </c>
      <c r="B61" s="25" t="s">
        <v>97</v>
      </c>
      <c r="C61" s="25">
        <v>0</v>
      </c>
      <c r="D61" s="25">
        <v>2</v>
      </c>
      <c r="E61" s="25">
        <f t="shared" ref="E61:E68" si="0">C61*D61</f>
        <v>0</v>
      </c>
    </row>
    <row r="62" spans="1:9" x14ac:dyDescent="0.25">
      <c r="A62" s="25">
        <v>2</v>
      </c>
      <c r="B62" s="25" t="s">
        <v>98</v>
      </c>
      <c r="C62" s="25">
        <v>0</v>
      </c>
      <c r="D62" s="25">
        <v>0.1</v>
      </c>
      <c r="E62" s="25">
        <f t="shared" si="0"/>
        <v>0</v>
      </c>
    </row>
    <row r="63" spans="1:9" x14ac:dyDescent="0.25">
      <c r="A63" s="25">
        <v>3</v>
      </c>
      <c r="B63" s="25" t="s">
        <v>99</v>
      </c>
      <c r="C63" s="25">
        <v>20</v>
      </c>
      <c r="D63" s="25">
        <v>1</v>
      </c>
      <c r="E63" s="25">
        <f t="shared" si="0"/>
        <v>20</v>
      </c>
    </row>
    <row r="64" spans="1:9" x14ac:dyDescent="0.25">
      <c r="A64" s="25">
        <v>4</v>
      </c>
      <c r="B64" s="25" t="s">
        <v>100</v>
      </c>
      <c r="C64" s="25">
        <v>1</v>
      </c>
      <c r="D64" s="25">
        <v>0.15</v>
      </c>
      <c r="E64" s="25">
        <f t="shared" si="0"/>
        <v>0.15</v>
      </c>
    </row>
    <row r="65" spans="1:5" x14ac:dyDescent="0.25">
      <c r="A65" s="25">
        <v>5</v>
      </c>
      <c r="B65" s="25" t="s">
        <v>101</v>
      </c>
      <c r="C65" s="25">
        <v>1</v>
      </c>
      <c r="D65" s="25">
        <v>0.15</v>
      </c>
      <c r="E65" s="25">
        <f t="shared" si="0"/>
        <v>0.15</v>
      </c>
    </row>
    <row r="66" spans="1:5" x14ac:dyDescent="0.25">
      <c r="A66" s="25">
        <v>6</v>
      </c>
      <c r="B66" s="25" t="s">
        <v>102</v>
      </c>
      <c r="C66" s="25">
        <v>2</v>
      </c>
      <c r="D66" s="25">
        <v>1</v>
      </c>
      <c r="E66" s="25">
        <f t="shared" si="0"/>
        <v>2</v>
      </c>
    </row>
    <row r="67" spans="1:5" x14ac:dyDescent="0.25">
      <c r="A67" s="25">
        <v>7</v>
      </c>
      <c r="B67" s="25" t="s">
        <v>103</v>
      </c>
      <c r="C67" s="25">
        <v>2</v>
      </c>
      <c r="D67" s="25">
        <v>0.5</v>
      </c>
      <c r="E67" s="25">
        <f t="shared" si="0"/>
        <v>1</v>
      </c>
    </row>
    <row r="68" spans="1:5" x14ac:dyDescent="0.25">
      <c r="A68" s="25">
        <v>8</v>
      </c>
      <c r="B68" s="25" t="s">
        <v>104</v>
      </c>
      <c r="C68" s="25">
        <v>0</v>
      </c>
      <c r="D68" s="25">
        <v>2.5</v>
      </c>
      <c r="E68" s="25">
        <f t="shared" si="0"/>
        <v>0</v>
      </c>
    </row>
    <row r="69" spans="1:5" x14ac:dyDescent="0.25">
      <c r="A69" s="101" t="s">
        <v>105</v>
      </c>
      <c r="B69" s="101"/>
      <c r="C69" s="101"/>
      <c r="D69" s="101"/>
      <c r="E69" s="26">
        <f>SUM(E61:E68)</f>
        <v>23.299999999999997</v>
      </c>
    </row>
  </sheetData>
  <mergeCells count="4">
    <mergeCell ref="A17:I17"/>
    <mergeCell ref="A38:I38"/>
    <mergeCell ref="A59:E59"/>
    <mergeCell ref="A69:D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</vt:lpstr>
      <vt:lpstr>СПРАВОЧНИК</vt:lpstr>
      <vt:lpstr>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Хохлов</dc:creator>
  <cp:lastModifiedBy>Тимошенко Максим</cp:lastModifiedBy>
  <dcterms:created xsi:type="dcterms:W3CDTF">2017-09-06T02:35:18Z</dcterms:created>
  <dcterms:modified xsi:type="dcterms:W3CDTF">2023-02-14T09:48:25Z</dcterms:modified>
</cp:coreProperties>
</file>